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
    </mc:Choice>
  </mc:AlternateContent>
  <bookViews>
    <workbookView xWindow="0" yWindow="0" windowWidth="15480" windowHeight="11640" tabRatio="879" activeTab="1"/>
  </bookViews>
  <sheets>
    <sheet name="Come utilizzare questo modello" sheetId="9" r:id="rId1"/>
    <sheet name="Elenco studenti" sheetId="5" r:id="rId2"/>
    <sheet name="Agosto" sheetId="4" r:id="rId3"/>
    <sheet name="Settembre" sheetId="14" r:id="rId4"/>
    <sheet name="Ottobre" sheetId="15" r:id="rId5"/>
    <sheet name="Novembre" sheetId="16" r:id="rId6"/>
    <sheet name="Dicembre" sheetId="17" r:id="rId7"/>
    <sheet name="Gennaio" sheetId="18" r:id="rId8"/>
    <sheet name="Febbraio" sheetId="8" r:id="rId9"/>
    <sheet name="Marzo" sheetId="19" r:id="rId10"/>
    <sheet name="Aprile" sheetId="20" r:id="rId11"/>
    <sheet name="Maggio" sheetId="21" r:id="rId12"/>
    <sheet name="Giugno" sheetId="22" r:id="rId13"/>
    <sheet name="Luglio" sheetId="23" r:id="rId14"/>
    <sheet name="Report di frequenza studenti" sheetId="6" r:id="rId15"/>
  </sheets>
  <externalReferences>
    <externalReference r:id="rId16"/>
  </externalReferences>
  <definedNames>
    <definedName name="AnnoCalendario">Agosto!$AM$1</definedName>
    <definedName name="_xlnm.Print_Area" localSheetId="2">Agosto!$A$1:$P$51</definedName>
    <definedName name="_xlnm.Print_Area" localSheetId="10">Aprile!$A$1:$Q$51</definedName>
    <definedName name="_xlnm.Print_Area" localSheetId="0">'Come utilizzare questo modello'!$A$1:$O$26</definedName>
    <definedName name="_xlnm.Print_Area" localSheetId="6">Dicembre!$A$1:$Q$51</definedName>
    <definedName name="_xlnm.Print_Area" localSheetId="1">'Elenco studenti'!$A$1:$G$52</definedName>
    <definedName name="_xlnm.Print_Area" localSheetId="8">Febbraio!$A$1:$Q$51</definedName>
    <definedName name="_xlnm.Print_Area" localSheetId="7">Gennaio!$A$1:$Q$51</definedName>
    <definedName name="_xlnm.Print_Area" localSheetId="12">Giugno!$A$1:$Q$51</definedName>
    <definedName name="_xlnm.Print_Area" localSheetId="13">Luglio!$A$1:$Q$51</definedName>
    <definedName name="_xlnm.Print_Area" localSheetId="11">Maggio!$A$1:$Q$51</definedName>
    <definedName name="_xlnm.Print_Area" localSheetId="9">Marzo!$A$1:$Q$51</definedName>
    <definedName name="_xlnm.Print_Area" localSheetId="5">Novembre!$A$1:$Q$51</definedName>
    <definedName name="_xlnm.Print_Area" localSheetId="4">Ottobre!$A$1:$Q$51</definedName>
    <definedName name="_xlnm.Print_Area" localSheetId="14">'Report di frequenza studenti'!$A$1:$BA$59</definedName>
    <definedName name="_xlnm.Print_Area" localSheetId="3">Settembre!$A$1:$Q$51</definedName>
    <definedName name="Codice1">Agosto!$D$3</definedName>
    <definedName name="Codice2">Agosto!$H$3</definedName>
    <definedName name="Codice3">Agosto!$L$3</definedName>
    <definedName name="Codice4">Agosto!$P$3</definedName>
    <definedName name="Codice5">Agosto!$T$3</definedName>
    <definedName name="IDStudente">ElencoStudenti[ID studente]</definedName>
    <definedName name="NomeStudente">ElencoStudenti[Nome e cognome studente]</definedName>
    <definedName name="RicercaStudente">'Report di frequenza studenti'!$B$4</definedName>
    <definedName name="TestoCodice1">Agosto!$E$3</definedName>
    <definedName name="TestoCodice2">Agosto!$I$3</definedName>
    <definedName name="TestoCodice3">Agosto!$M$3</definedName>
    <definedName name="TestoCodice4">Agosto!$Q$3</definedName>
    <definedName name="TestoCodice5">Agosto!$U$3</definedName>
    <definedName name="TestoLeggendaColori">Agosto!$C$3</definedName>
    <definedName name="Titoli_di_stampa" localSheetId="1">'[1]Student List'!$A:$C,'[1]Student List'!$3:$3</definedName>
  </definedNames>
  <calcPr calcId="152511"/>
</workbook>
</file>

<file path=xl/calcChain.xml><?xml version="1.0" encoding="utf-8"?>
<calcChain xmlns="http://schemas.openxmlformats.org/spreadsheetml/2006/main">
  <c r="A1" i="6" l="1"/>
  <c r="C8" i="23" l="1"/>
  <c r="C9" i="23"/>
  <c r="C10" i="23"/>
  <c r="C11" i="23"/>
  <c r="C7" i="23"/>
  <c r="C8" i="22"/>
  <c r="C9" i="22"/>
  <c r="C10" i="22"/>
  <c r="C11" i="22"/>
  <c r="C7" i="22"/>
  <c r="C8" i="21"/>
  <c r="C9" i="21"/>
  <c r="C10" i="21"/>
  <c r="C11" i="21"/>
  <c r="C7" i="21"/>
  <c r="C8" i="20"/>
  <c r="C9" i="20"/>
  <c r="C10" i="20"/>
  <c r="C11" i="20"/>
  <c r="C7" i="20"/>
  <c r="C8" i="19"/>
  <c r="C9" i="19"/>
  <c r="C10" i="19"/>
  <c r="C11" i="19"/>
  <c r="C7" i="19"/>
  <c r="C8" i="8"/>
  <c r="C9" i="8"/>
  <c r="C10" i="8"/>
  <c r="C11" i="8"/>
  <c r="C7" i="8"/>
  <c r="C8" i="18"/>
  <c r="C9" i="18"/>
  <c r="C10" i="18"/>
  <c r="C11" i="18"/>
  <c r="C7" i="18"/>
  <c r="C8" i="17"/>
  <c r="C9" i="17"/>
  <c r="C10" i="17"/>
  <c r="C11" i="17"/>
  <c r="C7" i="17"/>
  <c r="C8" i="16"/>
  <c r="C9" i="16"/>
  <c r="C10" i="16"/>
  <c r="C11" i="16"/>
  <c r="C7" i="16"/>
  <c r="C8" i="15"/>
  <c r="C9" i="15"/>
  <c r="C10" i="15"/>
  <c r="C11" i="15"/>
  <c r="C7" i="15"/>
  <c r="C7" i="14"/>
  <c r="C8" i="14"/>
  <c r="C9" i="14"/>
  <c r="C10" i="14"/>
  <c r="C11" i="14"/>
  <c r="E12" i="23" l="1"/>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D12" i="23"/>
  <c r="AH5" i="23"/>
  <c r="AG5" i="23"/>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D5" i="21"/>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D12" i="22"/>
  <c r="E12" i="21"/>
  <c r="F12" i="21"/>
  <c r="G12" i="21"/>
  <c r="H12" i="21"/>
  <c r="I12" i="21"/>
  <c r="J12" i="21"/>
  <c r="K12" i="21"/>
  <c r="L12" i="21"/>
  <c r="M12" i="21"/>
  <c r="N12" i="21"/>
  <c r="O12" i="21"/>
  <c r="P12" i="21"/>
  <c r="Q12" i="21"/>
  <c r="R12" i="21"/>
  <c r="S12" i="21"/>
  <c r="T12" i="21"/>
  <c r="U12" i="21"/>
  <c r="V12" i="21"/>
  <c r="W12" i="21"/>
  <c r="X12" i="21"/>
  <c r="Y12" i="21"/>
  <c r="Z12" i="21"/>
  <c r="AA12" i="21"/>
  <c r="AB12" i="21"/>
  <c r="AC12" i="21"/>
  <c r="AD12" i="21"/>
  <c r="AE12" i="21"/>
  <c r="AF12" i="21"/>
  <c r="AG12" i="21"/>
  <c r="AH12" i="21"/>
  <c r="D12" i="21"/>
  <c r="AH5" i="21"/>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19"/>
  <c r="E12" i="20"/>
  <c r="F12" i="20"/>
  <c r="G12" i="20"/>
  <c r="H12" i="20"/>
  <c r="I12" i="20"/>
  <c r="J12" i="20"/>
  <c r="K12" i="20"/>
  <c r="L12" i="20"/>
  <c r="M12" i="20"/>
  <c r="N12" i="20"/>
  <c r="O12" i="20"/>
  <c r="P12" i="20"/>
  <c r="Q12" i="20"/>
  <c r="R12" i="20"/>
  <c r="S12" i="20"/>
  <c r="T12" i="20"/>
  <c r="U12" i="20"/>
  <c r="V12" i="20"/>
  <c r="W12" i="20"/>
  <c r="X12" i="20"/>
  <c r="Y12" i="20"/>
  <c r="Z12" i="20"/>
  <c r="AA12" i="20"/>
  <c r="AB12" i="20"/>
  <c r="AC12" i="20"/>
  <c r="AD12" i="20"/>
  <c r="AE12" i="20"/>
  <c r="AF12" i="20"/>
  <c r="AG12" i="20"/>
  <c r="D12" i="20"/>
  <c r="AG5" i="20"/>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E12" i="19"/>
  <c r="F12" i="19"/>
  <c r="G12" i="19"/>
  <c r="H12" i="19"/>
  <c r="I12" i="19"/>
  <c r="J12" i="19"/>
  <c r="K12" i="19"/>
  <c r="L12" i="19"/>
  <c r="M12" i="19"/>
  <c r="N12" i="19"/>
  <c r="O12" i="19"/>
  <c r="P12" i="19"/>
  <c r="Q12" i="19"/>
  <c r="R12" i="19"/>
  <c r="S12" i="19"/>
  <c r="T12" i="19"/>
  <c r="U12" i="19"/>
  <c r="V12" i="19"/>
  <c r="W12" i="19"/>
  <c r="X12" i="19"/>
  <c r="Y12" i="19"/>
  <c r="Z12" i="19"/>
  <c r="AA12" i="19"/>
  <c r="AB12" i="19"/>
  <c r="AC12" i="19"/>
  <c r="AD12" i="19"/>
  <c r="AE12" i="19"/>
  <c r="AF12" i="19"/>
  <c r="AG12" i="19"/>
  <c r="AH12" i="19"/>
  <c r="D12"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D12" i="8"/>
  <c r="AE5" i="8"/>
  <c r="AD5" i="8"/>
  <c r="AC5" i="8"/>
  <c r="AB5" i="8"/>
  <c r="AA5" i="8"/>
  <c r="Z5" i="8"/>
  <c r="Y5" i="8"/>
  <c r="X5" i="8"/>
  <c r="W5" i="8"/>
  <c r="V5" i="8"/>
  <c r="U5" i="8"/>
  <c r="T5" i="8"/>
  <c r="S5" i="8"/>
  <c r="R5" i="8"/>
  <c r="Q5" i="8"/>
  <c r="P5" i="8"/>
  <c r="O5" i="8"/>
  <c r="N5" i="8"/>
  <c r="M5" i="8"/>
  <c r="L5" i="8"/>
  <c r="K5" i="8"/>
  <c r="J5" i="8"/>
  <c r="I5" i="8"/>
  <c r="H5" i="8"/>
  <c r="G5" i="8"/>
  <c r="F5" i="8"/>
  <c r="E5" i="8"/>
  <c r="D5" i="18"/>
  <c r="E12" i="18"/>
  <c r="F12" i="18"/>
  <c r="G12" i="18"/>
  <c r="H12" i="18"/>
  <c r="I12" i="18"/>
  <c r="J12" i="18"/>
  <c r="K12" i="18"/>
  <c r="L12" i="18"/>
  <c r="M12" i="18"/>
  <c r="N12" i="18"/>
  <c r="O12" i="18"/>
  <c r="P12" i="18"/>
  <c r="Q12" i="18"/>
  <c r="R12" i="18"/>
  <c r="S12" i="18"/>
  <c r="T12" i="18"/>
  <c r="U12" i="18"/>
  <c r="V12" i="18"/>
  <c r="W12" i="18"/>
  <c r="X12" i="18"/>
  <c r="Y12" i="18"/>
  <c r="Z12" i="18"/>
  <c r="AA12" i="18"/>
  <c r="AB12" i="18"/>
  <c r="AC12" i="18"/>
  <c r="AD12" i="18"/>
  <c r="AE12" i="18"/>
  <c r="AF12" i="18"/>
  <c r="AG12" i="18"/>
  <c r="AH12" i="18"/>
  <c r="D12" i="18"/>
  <c r="AH5" i="18"/>
  <c r="AG5" i="18"/>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U12" i="6"/>
  <c r="T12" i="6"/>
  <c r="Q12" i="6"/>
  <c r="P12" i="6"/>
  <c r="L12" i="6"/>
  <c r="K12" i="6"/>
  <c r="H12" i="6"/>
  <c r="G12" i="6"/>
  <c r="D12" i="6"/>
  <c r="C12" i="6"/>
  <c r="B12" i="6"/>
  <c r="E12" i="17"/>
  <c r="F12" i="17"/>
  <c r="G12" i="17"/>
  <c r="H12" i="17"/>
  <c r="I12" i="17"/>
  <c r="J12" i="17"/>
  <c r="K12" i="17"/>
  <c r="L12" i="17"/>
  <c r="M12" i="17"/>
  <c r="N12" i="17"/>
  <c r="O12" i="17"/>
  <c r="P12" i="17"/>
  <c r="Q12" i="17"/>
  <c r="R12" i="17"/>
  <c r="S12" i="17"/>
  <c r="T12" i="17"/>
  <c r="U12" i="17"/>
  <c r="V12" i="17"/>
  <c r="W12" i="17"/>
  <c r="X12" i="17"/>
  <c r="Y12" i="17"/>
  <c r="Z12" i="17"/>
  <c r="AA12" i="17"/>
  <c r="AB12" i="17"/>
  <c r="AC12" i="17"/>
  <c r="AD12" i="17"/>
  <c r="AE12" i="17"/>
  <c r="AF12" i="17"/>
  <c r="AG12" i="17"/>
  <c r="AH12" i="17"/>
  <c r="D12" i="17"/>
  <c r="AH5" i="17"/>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D5" i="16"/>
  <c r="AH12"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D12" i="16"/>
  <c r="AG5" i="16"/>
  <c r="AF5" i="16"/>
  <c r="AE5" i="16"/>
  <c r="AD5" i="16"/>
  <c r="AC5" i="16"/>
  <c r="AB5" i="16"/>
  <c r="AA5" i="16"/>
  <c r="Z5" i="16"/>
  <c r="Y5" i="16"/>
  <c r="X5" i="16"/>
  <c r="W5" i="16"/>
  <c r="V5" i="16"/>
  <c r="U5" i="16"/>
  <c r="T5" i="16"/>
  <c r="S5" i="16"/>
  <c r="R5" i="16"/>
  <c r="Q5" i="16"/>
  <c r="P5" i="16"/>
  <c r="O5" i="16"/>
  <c r="N5" i="16"/>
  <c r="M5" i="16"/>
  <c r="L5" i="16"/>
  <c r="K5" i="16"/>
  <c r="J5" i="16"/>
  <c r="I5" i="16"/>
  <c r="H5" i="16"/>
  <c r="G5" i="16"/>
  <c r="F5" i="16"/>
  <c r="E5" i="16"/>
  <c r="D5" i="15"/>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AD12" i="15"/>
  <c r="AE12" i="15"/>
  <c r="AF12" i="15"/>
  <c r="AG12" i="15"/>
  <c r="AH12" i="15"/>
  <c r="D12" i="15"/>
  <c r="AH5" i="1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AH12" i="14"/>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AD12" i="14"/>
  <c r="AE12" i="14"/>
  <c r="AF12" i="14"/>
  <c r="AG12" i="14"/>
  <c r="D12" i="14"/>
  <c r="D5" i="14"/>
  <c r="AG5" i="14"/>
  <c r="AF5" i="14"/>
  <c r="AE5" i="14"/>
  <c r="AD5" i="14"/>
  <c r="AC5" i="14"/>
  <c r="AB5" i="14"/>
  <c r="AA5" i="14"/>
  <c r="Z5" i="14"/>
  <c r="Y5" i="14"/>
  <c r="X5" i="14"/>
  <c r="W5" i="14"/>
  <c r="V5" i="14"/>
  <c r="U5" i="14"/>
  <c r="T5" i="14"/>
  <c r="S5" i="14"/>
  <c r="R5" i="14"/>
  <c r="Q5" i="14"/>
  <c r="P5" i="14"/>
  <c r="O5" i="14"/>
  <c r="N5" i="14"/>
  <c r="M5" i="14"/>
  <c r="L5" i="14"/>
  <c r="K5" i="14"/>
  <c r="J5" i="14"/>
  <c r="I5" i="14"/>
  <c r="H5" i="14"/>
  <c r="G5" i="14"/>
  <c r="F5" i="14"/>
  <c r="E5" i="14"/>
  <c r="AH5" i="4"/>
  <c r="AG5" i="4"/>
  <c r="AF5" i="4"/>
  <c r="AE5" i="4"/>
  <c r="AD5" i="4"/>
  <c r="AC5" i="4"/>
  <c r="AB5" i="4"/>
  <c r="AA5" i="4"/>
  <c r="Z5" i="4"/>
  <c r="Y5" i="4"/>
  <c r="X5" i="4"/>
  <c r="W5" i="4"/>
  <c r="V5" i="4"/>
  <c r="U5" i="4"/>
  <c r="T5" i="4"/>
  <c r="S5" i="4"/>
  <c r="R5" i="4"/>
  <c r="Q5" i="4"/>
  <c r="P5" i="4"/>
  <c r="O5" i="4"/>
  <c r="N5" i="4"/>
  <c r="M5" i="4"/>
  <c r="L5" i="4"/>
  <c r="K5" i="4"/>
  <c r="J5" i="4"/>
  <c r="I5" i="4"/>
  <c r="E5" i="4"/>
  <c r="H5" i="4"/>
  <c r="G5" i="4"/>
  <c r="F5" i="4"/>
  <c r="D5"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G12" i="4"/>
  <c r="F12" i="4"/>
  <c r="D12" i="4"/>
  <c r="E12" i="4"/>
  <c r="S5" i="5"/>
  <c r="C8" i="4" s="1"/>
  <c r="S6" i="5"/>
  <c r="C9" i="4" s="1"/>
  <c r="S7" i="5"/>
  <c r="C10" i="4" s="1"/>
  <c r="S8" i="5"/>
  <c r="C11" i="4" s="1"/>
  <c r="S4" i="5"/>
  <c r="C7" i="4" s="1"/>
  <c r="AG39" i="6" l="1"/>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F33" i="6"/>
  <c r="AE33"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AG25" i="6"/>
  <c r="AF25" i="6"/>
  <c r="AE25" i="6"/>
  <c r="AD25"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E23" i="6"/>
  <c r="D23" i="6"/>
  <c r="C23"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B5" i="23"/>
  <c r="B5" i="22"/>
  <c r="AL11" i="23"/>
  <c r="AK11" i="23"/>
  <c r="AJ11" i="23"/>
  <c r="AI11" i="23"/>
  <c r="AL10" i="23"/>
  <c r="AK10" i="23"/>
  <c r="AJ10" i="23"/>
  <c r="AI10" i="23"/>
  <c r="AL9" i="23"/>
  <c r="AK9" i="23"/>
  <c r="AJ9" i="23"/>
  <c r="AI9" i="23"/>
  <c r="AL8" i="23"/>
  <c r="AK8" i="23"/>
  <c r="AJ8" i="23"/>
  <c r="AI8" i="23"/>
  <c r="AL7" i="23"/>
  <c r="AL12" i="23" s="1"/>
  <c r="AK7" i="23"/>
  <c r="AK12" i="23" s="1"/>
  <c r="AJ7" i="23"/>
  <c r="AJ12" i="23" s="1"/>
  <c r="AI7" i="23"/>
  <c r="AI12" i="23" s="1"/>
  <c r="U3" i="23"/>
  <c r="T3" i="23"/>
  <c r="Q3" i="23"/>
  <c r="P3" i="23"/>
  <c r="M3" i="23"/>
  <c r="L3" i="23"/>
  <c r="I3" i="23"/>
  <c r="H3" i="23"/>
  <c r="E3" i="23"/>
  <c r="D3" i="23"/>
  <c r="C3" i="23"/>
  <c r="AM1" i="23"/>
  <c r="AL11" i="22"/>
  <c r="AK11" i="22"/>
  <c r="AJ11" i="22"/>
  <c r="AM11" i="22" s="1"/>
  <c r="AI11" i="22"/>
  <c r="AL10" i="22"/>
  <c r="AK10" i="22"/>
  <c r="AJ10" i="22"/>
  <c r="AI10" i="22"/>
  <c r="AL9" i="22"/>
  <c r="AK9" i="22"/>
  <c r="AJ9" i="22"/>
  <c r="AI9" i="22"/>
  <c r="AL8" i="22"/>
  <c r="AK8" i="22"/>
  <c r="AJ8" i="22"/>
  <c r="AI8" i="22"/>
  <c r="AL7" i="22"/>
  <c r="AK7" i="22"/>
  <c r="AK12" i="22" s="1"/>
  <c r="AJ7" i="22"/>
  <c r="AJ12" i="22" s="1"/>
  <c r="AI7" i="22"/>
  <c r="AI12" i="22" s="1"/>
  <c r="U3" i="22"/>
  <c r="T3" i="22"/>
  <c r="Q3" i="22"/>
  <c r="P3" i="22"/>
  <c r="M3" i="22"/>
  <c r="L3" i="22"/>
  <c r="I3" i="22"/>
  <c r="H3" i="22"/>
  <c r="E3" i="22"/>
  <c r="D3" i="22"/>
  <c r="C3" i="22"/>
  <c r="AM1" i="22"/>
  <c r="B5" i="21"/>
  <c r="B5" i="20"/>
  <c r="AL11" i="21"/>
  <c r="AK11" i="21"/>
  <c r="AJ11" i="21"/>
  <c r="AI11" i="21"/>
  <c r="AL10" i="21"/>
  <c r="AK10" i="21"/>
  <c r="AJ10" i="21"/>
  <c r="AI10" i="21"/>
  <c r="AL9" i="21"/>
  <c r="AK9" i="21"/>
  <c r="AJ9" i="21"/>
  <c r="AI9" i="21"/>
  <c r="AL8" i="21"/>
  <c r="AK8" i="21"/>
  <c r="AJ8" i="21"/>
  <c r="AI8" i="21"/>
  <c r="AL7" i="21"/>
  <c r="AL12" i="21" s="1"/>
  <c r="AK7" i="21"/>
  <c r="AK12" i="21" s="1"/>
  <c r="AJ7" i="21"/>
  <c r="AJ12" i="21" s="1"/>
  <c r="AI7" i="21"/>
  <c r="AI12" i="21" s="1"/>
  <c r="U3" i="21"/>
  <c r="T3" i="21"/>
  <c r="Q3" i="21"/>
  <c r="P3" i="21"/>
  <c r="M3" i="21"/>
  <c r="L3" i="21"/>
  <c r="I3" i="21"/>
  <c r="H3" i="21"/>
  <c r="E3" i="21"/>
  <c r="D3" i="21"/>
  <c r="C3" i="21"/>
  <c r="AM1" i="21"/>
  <c r="AL11" i="20"/>
  <c r="AK11" i="20"/>
  <c r="AJ11" i="20"/>
  <c r="AI11" i="20"/>
  <c r="AL10" i="20"/>
  <c r="AK10" i="20"/>
  <c r="AJ10" i="20"/>
  <c r="AI10" i="20"/>
  <c r="AL9" i="20"/>
  <c r="AK9" i="20"/>
  <c r="AJ9" i="20"/>
  <c r="AI9" i="20"/>
  <c r="AL8" i="20"/>
  <c r="AK8" i="20"/>
  <c r="AJ8" i="20"/>
  <c r="AI8" i="20"/>
  <c r="AL7" i="20"/>
  <c r="AL12" i="20" s="1"/>
  <c r="AK7" i="20"/>
  <c r="AK12" i="20" s="1"/>
  <c r="AJ7" i="20"/>
  <c r="AJ12" i="20" s="1"/>
  <c r="AI7" i="20"/>
  <c r="AI12" i="20" s="1"/>
  <c r="U3" i="20"/>
  <c r="T3" i="20"/>
  <c r="Q3" i="20"/>
  <c r="P3" i="20"/>
  <c r="M3" i="20"/>
  <c r="L3" i="20"/>
  <c r="I3" i="20"/>
  <c r="H3" i="20"/>
  <c r="E3" i="20"/>
  <c r="D3" i="20"/>
  <c r="C3" i="20"/>
  <c r="AM1" i="20"/>
  <c r="B5" i="19"/>
  <c r="AL11" i="19"/>
  <c r="AK11" i="19"/>
  <c r="AJ11" i="19"/>
  <c r="AI11" i="19"/>
  <c r="AL10" i="19"/>
  <c r="AK10" i="19"/>
  <c r="AJ10" i="19"/>
  <c r="AI10" i="19"/>
  <c r="AL9" i="19"/>
  <c r="AK9" i="19"/>
  <c r="AJ9" i="19"/>
  <c r="AI9" i="19"/>
  <c r="AL8" i="19"/>
  <c r="AK8" i="19"/>
  <c r="AJ8" i="19"/>
  <c r="AI8" i="19"/>
  <c r="AL7" i="19"/>
  <c r="AL12" i="19" s="1"/>
  <c r="AK7" i="19"/>
  <c r="AK12" i="19" s="1"/>
  <c r="AJ7" i="19"/>
  <c r="AJ12" i="19" s="1"/>
  <c r="AI7" i="19"/>
  <c r="AI12" i="19" s="1"/>
  <c r="U3" i="19"/>
  <c r="T3" i="19"/>
  <c r="Q3" i="19"/>
  <c r="P3" i="19"/>
  <c r="M3" i="19"/>
  <c r="L3" i="19"/>
  <c r="I3" i="19"/>
  <c r="H3" i="19"/>
  <c r="E3" i="19"/>
  <c r="D3" i="19"/>
  <c r="C3" i="19"/>
  <c r="AM1" i="19"/>
  <c r="B5" i="17"/>
  <c r="B5" i="16"/>
  <c r="B5" i="15"/>
  <c r="B5" i="18"/>
  <c r="AL11" i="18"/>
  <c r="AK11" i="18"/>
  <c r="AJ11" i="18"/>
  <c r="AI11" i="18"/>
  <c r="AL10" i="18"/>
  <c r="AK10" i="18"/>
  <c r="AJ10" i="18"/>
  <c r="AI10" i="18"/>
  <c r="AL9" i="18"/>
  <c r="AK9" i="18"/>
  <c r="AJ9" i="18"/>
  <c r="AI9" i="18"/>
  <c r="AL8" i="18"/>
  <c r="AK8" i="18"/>
  <c r="AJ8" i="18"/>
  <c r="AI8" i="18"/>
  <c r="AL7" i="18"/>
  <c r="AL12" i="18" s="1"/>
  <c r="AK7" i="18"/>
  <c r="AK12" i="18" s="1"/>
  <c r="AJ7" i="18"/>
  <c r="AJ12" i="18" s="1"/>
  <c r="AI7" i="18"/>
  <c r="U3" i="18"/>
  <c r="T3" i="18"/>
  <c r="Q3" i="18"/>
  <c r="P3" i="18"/>
  <c r="M3" i="18"/>
  <c r="L3" i="18"/>
  <c r="I3" i="18"/>
  <c r="H3" i="18"/>
  <c r="E3" i="18"/>
  <c r="D3" i="18"/>
  <c r="C3" i="18"/>
  <c r="AM1" i="18"/>
  <c r="AL11" i="17"/>
  <c r="AK11" i="17"/>
  <c r="AJ11" i="17"/>
  <c r="AI11" i="17"/>
  <c r="AL10" i="17"/>
  <c r="AK10" i="17"/>
  <c r="AJ10" i="17"/>
  <c r="AI10" i="17"/>
  <c r="AL9" i="17"/>
  <c r="AK9" i="17"/>
  <c r="AJ9" i="17"/>
  <c r="AI9" i="17"/>
  <c r="AL8" i="17"/>
  <c r="AK8" i="17"/>
  <c r="AJ8" i="17"/>
  <c r="AI8" i="17"/>
  <c r="AL7" i="17"/>
  <c r="AL12" i="17" s="1"/>
  <c r="AK7" i="17"/>
  <c r="AJ7" i="17"/>
  <c r="AJ12" i="17" s="1"/>
  <c r="AI7" i="17"/>
  <c r="U3" i="17"/>
  <c r="T3" i="17"/>
  <c r="Q3" i="17"/>
  <c r="P3" i="17"/>
  <c r="M3" i="17"/>
  <c r="L3" i="17"/>
  <c r="I3" i="17"/>
  <c r="H3" i="17"/>
  <c r="E3" i="17"/>
  <c r="D3" i="17"/>
  <c r="C3" i="17"/>
  <c r="AM1" i="17"/>
  <c r="AL11" i="16"/>
  <c r="AK11" i="16"/>
  <c r="AJ11" i="16"/>
  <c r="AI11" i="16"/>
  <c r="AL10" i="16"/>
  <c r="AK10" i="16"/>
  <c r="AJ10" i="16"/>
  <c r="AI10" i="16"/>
  <c r="AL9" i="16"/>
  <c r="AK9" i="16"/>
  <c r="AJ9" i="16"/>
  <c r="AI9" i="16"/>
  <c r="AL8" i="16"/>
  <c r="AK8" i="16"/>
  <c r="AJ8" i="16"/>
  <c r="AI8" i="16"/>
  <c r="AL7" i="16"/>
  <c r="AL12" i="16" s="1"/>
  <c r="AK7" i="16"/>
  <c r="AK12" i="16" s="1"/>
  <c r="AJ7" i="16"/>
  <c r="AJ12" i="16" s="1"/>
  <c r="AI7" i="16"/>
  <c r="U3" i="16"/>
  <c r="T3" i="16"/>
  <c r="Q3" i="16"/>
  <c r="P3" i="16"/>
  <c r="M3" i="16"/>
  <c r="L3" i="16"/>
  <c r="I3" i="16"/>
  <c r="H3" i="16"/>
  <c r="E3" i="16"/>
  <c r="D3" i="16"/>
  <c r="C3" i="16"/>
  <c r="AM1" i="16"/>
  <c r="AL11" i="15"/>
  <c r="AK11" i="15"/>
  <c r="AJ11" i="15"/>
  <c r="AI11" i="15"/>
  <c r="AL10" i="15"/>
  <c r="AK10" i="15"/>
  <c r="AJ10" i="15"/>
  <c r="AI10" i="15"/>
  <c r="AL9" i="15"/>
  <c r="AK9" i="15"/>
  <c r="AJ9" i="15"/>
  <c r="AI9" i="15"/>
  <c r="AL8" i="15"/>
  <c r="AK8" i="15"/>
  <c r="AJ8" i="15"/>
  <c r="AI8" i="15"/>
  <c r="AL7" i="15"/>
  <c r="AL12" i="15" s="1"/>
  <c r="AK7" i="15"/>
  <c r="AK12" i="15" s="1"/>
  <c r="AJ7" i="15"/>
  <c r="AJ12" i="15" s="1"/>
  <c r="AI7" i="15"/>
  <c r="AI12" i="15" s="1"/>
  <c r="U3" i="15"/>
  <c r="T3" i="15"/>
  <c r="Q3" i="15"/>
  <c r="P3" i="15"/>
  <c r="M3" i="15"/>
  <c r="L3" i="15"/>
  <c r="I3" i="15"/>
  <c r="H3" i="15"/>
  <c r="E3" i="15"/>
  <c r="D3" i="15"/>
  <c r="C3" i="15"/>
  <c r="AM1" i="15"/>
  <c r="AK12" i="17" l="1"/>
  <c r="AL12" i="22"/>
  <c r="AI12" i="16"/>
  <c r="AI12" i="17"/>
  <c r="AI12" i="18"/>
  <c r="AH36" i="6"/>
  <c r="AH38" i="6"/>
  <c r="AM9" i="18"/>
  <c r="AM11" i="18"/>
  <c r="AM8" i="19"/>
  <c r="AM10" i="19"/>
  <c r="AM8" i="21"/>
  <c r="AM10" i="21"/>
  <c r="AM9" i="22"/>
  <c r="AM10" i="22"/>
  <c r="AM7" i="16"/>
  <c r="AM9" i="16"/>
  <c r="AM11" i="16"/>
  <c r="AM8" i="20"/>
  <c r="AM10" i="20"/>
  <c r="AM8" i="23"/>
  <c r="AM9" i="23"/>
  <c r="AM10" i="23"/>
  <c r="AM11" i="23"/>
  <c r="AK38" i="6"/>
  <c r="AI38" i="6"/>
  <c r="AK36" i="6"/>
  <c r="AI36" i="6"/>
  <c r="AJ38" i="6"/>
  <c r="AJ36" i="6"/>
  <c r="AM7" i="23"/>
  <c r="AM9" i="21"/>
  <c r="AM11" i="21"/>
  <c r="AM8" i="22"/>
  <c r="AM7" i="22"/>
  <c r="AM9" i="20"/>
  <c r="AM11" i="20"/>
  <c r="AM7" i="21"/>
  <c r="AM9" i="19"/>
  <c r="AM11" i="19"/>
  <c r="AM7" i="20"/>
  <c r="AM10" i="15"/>
  <c r="AM7" i="17"/>
  <c r="AM9" i="17"/>
  <c r="AM11" i="17"/>
  <c r="AM8" i="18"/>
  <c r="AM10" i="18"/>
  <c r="AM7" i="19"/>
  <c r="AM7" i="18"/>
  <c r="AM7" i="15"/>
  <c r="AM8" i="16"/>
  <c r="AM10" i="16"/>
  <c r="AM8" i="17"/>
  <c r="AM10" i="17"/>
  <c r="AM8" i="15"/>
  <c r="AM9" i="15"/>
  <c r="AM11" i="15"/>
  <c r="AM12" i="23" l="1"/>
  <c r="AM12" i="19"/>
  <c r="AM12" i="21"/>
  <c r="AM12" i="20"/>
  <c r="AM12" i="18"/>
  <c r="AM12" i="22"/>
  <c r="AM12" i="17"/>
  <c r="AM12" i="16"/>
  <c r="AM12" i="15"/>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U3" i="14"/>
  <c r="T3" i="14"/>
  <c r="Q3" i="14"/>
  <c r="P3" i="14"/>
  <c r="M3" i="14"/>
  <c r="L3" i="14"/>
  <c r="I3" i="14"/>
  <c r="H3" i="14"/>
  <c r="E3" i="14"/>
  <c r="D3" i="14"/>
  <c r="C3" i="14"/>
  <c r="AM1" i="14"/>
  <c r="B5" i="14"/>
  <c r="AL11" i="14"/>
  <c r="AK11" i="14"/>
  <c r="AJ11" i="14"/>
  <c r="AI11" i="14"/>
  <c r="AL10" i="14"/>
  <c r="AK10" i="14"/>
  <c r="AJ10" i="14"/>
  <c r="AI10" i="14"/>
  <c r="AL9" i="14"/>
  <c r="AK9" i="14"/>
  <c r="AJ9" i="14"/>
  <c r="AI9" i="14"/>
  <c r="AL8" i="14"/>
  <c r="AK8" i="14"/>
  <c r="AJ8" i="14"/>
  <c r="AI8" i="14"/>
  <c r="AL7" i="14"/>
  <c r="AL12" i="14" s="1"/>
  <c r="AK7" i="14"/>
  <c r="AK12" i="14" s="1"/>
  <c r="AJ7" i="14"/>
  <c r="AJ12" i="14" s="1"/>
  <c r="AI7" i="14"/>
  <c r="AI12" i="14" s="1"/>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M7" i="14" l="1"/>
  <c r="AM8" i="14"/>
  <c r="AM10" i="14"/>
  <c r="AM9" i="14"/>
  <c r="AM11" i="14"/>
  <c r="U3" i="8"/>
  <c r="T3" i="8"/>
  <c r="Q3" i="8"/>
  <c r="P3" i="8"/>
  <c r="M3" i="8"/>
  <c r="L3" i="8"/>
  <c r="I3" i="8"/>
  <c r="H3" i="8"/>
  <c r="E3" i="8"/>
  <c r="D3" i="8"/>
  <c r="C3" i="8"/>
  <c r="AM12" i="14" l="1"/>
  <c r="AM1"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D13" i="8"/>
  <c r="AL11" i="8"/>
  <c r="AK11" i="8"/>
  <c r="AJ11" i="8"/>
  <c r="AI11" i="8"/>
  <c r="AL10" i="8"/>
  <c r="AK10" i="8"/>
  <c r="AJ10" i="8"/>
  <c r="AI10" i="8"/>
  <c r="AL9" i="8"/>
  <c r="AK9" i="8"/>
  <c r="AJ9" i="8"/>
  <c r="AI9" i="8"/>
  <c r="AL8" i="8"/>
  <c r="AK8" i="8"/>
  <c r="AJ8" i="8"/>
  <c r="AI8" i="8"/>
  <c r="AL7" i="8"/>
  <c r="AL12" i="8" s="1"/>
  <c r="AK7" i="8"/>
  <c r="AK12" i="8" s="1"/>
  <c r="AJ7" i="8"/>
  <c r="AJ12" i="8" s="1"/>
  <c r="AI7" i="8"/>
  <c r="AI12" i="8" s="1"/>
  <c r="AF5" i="8"/>
  <c r="B5" i="8"/>
  <c r="AI13" i="8" l="1"/>
  <c r="AK13" i="8"/>
  <c r="AM9" i="8"/>
  <c r="AM11" i="8"/>
  <c r="AM7" i="8"/>
  <c r="AL13" i="8"/>
  <c r="AM8" i="8"/>
  <c r="AM10" i="8"/>
  <c r="AJ13" i="8"/>
  <c r="AI11" i="4"/>
  <c r="AJ11" i="4"/>
  <c r="AK11" i="4"/>
  <c r="AL11" i="4"/>
  <c r="AL7" i="4"/>
  <c r="AL8" i="4"/>
  <c r="AL9" i="4"/>
  <c r="AL10" i="4"/>
  <c r="AK7" i="4"/>
  <c r="AK8" i="4"/>
  <c r="AK9" i="4"/>
  <c r="AK10" i="4"/>
  <c r="AJ7" i="4"/>
  <c r="AJ8" i="4"/>
  <c r="AJ9" i="4"/>
  <c r="AJ10" i="4"/>
  <c r="AM12" i="8" l="1"/>
  <c r="AJ12" i="4"/>
  <c r="AK12" i="4"/>
  <c r="AL12" i="4"/>
  <c r="AM11" i="4"/>
  <c r="AI7" i="4"/>
  <c r="AI8" i="4"/>
  <c r="AI9" i="4"/>
  <c r="AI10" i="4"/>
  <c r="AI12" i="4" l="1"/>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K16" i="6" l="1"/>
  <c r="AJ16" i="6"/>
  <c r="AI16" i="6"/>
  <c r="AH16" i="6"/>
  <c r="K6" i="6"/>
  <c r="B6" i="6"/>
  <c r="B10" i="6"/>
  <c r="AE10" i="6"/>
  <c r="W10" i="6"/>
  <c r="K10" i="6"/>
  <c r="AE8" i="6"/>
  <c r="W8" i="6"/>
  <c r="K8" i="6"/>
  <c r="B8" i="6"/>
  <c r="AK28" i="6" l="1"/>
  <c r="AJ28" i="6"/>
  <c r="AI28" i="6"/>
  <c r="AH28" i="6"/>
  <c r="AI22" i="6" l="1"/>
  <c r="AK22" i="6"/>
  <c r="AJ22" i="6"/>
  <c r="AK24" i="6"/>
  <c r="AJ24" i="6"/>
  <c r="AI24" i="6"/>
  <c r="AJ30" i="6"/>
  <c r="AI30" i="6"/>
  <c r="AK30" i="6"/>
  <c r="AK18" i="6"/>
  <c r="AJ18" i="6"/>
  <c r="AI18" i="6"/>
  <c r="AK20" i="6"/>
  <c r="AJ20" i="6"/>
  <c r="AI20" i="6"/>
  <c r="AK26" i="6"/>
  <c r="AJ26" i="6"/>
  <c r="AI26" i="6"/>
  <c r="AK32" i="6"/>
  <c r="AJ32" i="6"/>
  <c r="AI32" i="6"/>
  <c r="AK34" i="6"/>
  <c r="AJ34" i="6"/>
  <c r="AI34" i="6"/>
  <c r="AH18" i="6"/>
  <c r="AH22" i="6"/>
  <c r="AH24" i="6"/>
  <c r="AH30" i="6"/>
  <c r="AH20" i="6"/>
  <c r="AH26" i="6"/>
  <c r="AH32" i="6"/>
  <c r="AH34" i="6"/>
  <c r="B5" i="4" l="1"/>
  <c r="AE6" i="6"/>
  <c r="W6" i="6"/>
  <c r="S4" i="6"/>
  <c r="P4" i="6"/>
  <c r="AH40" i="6" l="1"/>
  <c r="AI40" i="6"/>
  <c r="AJ40" i="6"/>
  <c r="AK40" i="6"/>
  <c r="AM7" i="4" l="1"/>
  <c r="AM10" i="4"/>
  <c r="D4" i="6" l="1"/>
  <c r="I1" i="6" s="1"/>
  <c r="AM9" i="4"/>
  <c r="AM8" i="4"/>
  <c r="AM12" i="4" l="1"/>
</calcChain>
</file>

<file path=xl/sharedStrings.xml><?xml version="1.0" encoding="utf-8"?>
<sst xmlns="http://schemas.openxmlformats.org/spreadsheetml/2006/main" count="784" uniqueCount="143">
  <si>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</si>
  <si>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</si>
  <si>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</si>
  <si>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</si>
  <si>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</si>
  <si>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</si>
  <si>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</si>
  <si>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</si>
  <si>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</si>
  <si>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</si>
  <si>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</si>
  <si>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</si>
  <si>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</si>
  <si>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</si>
  <si>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</si>
  <si>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</si>
  <si>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</si>
  <si>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</si>
  <si>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</si>
  <si>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</si>
  <si>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</si>
  <si>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</si>
  <si>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</si>
  <si>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</si>
  <si>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</si>
  <si>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</si>
  <si>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</si>
  <si>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</si>
  <si>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</si>
  <si>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</si>
  <si>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</si>
  <si>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t>
  </si>
  <si>
    <t>Nome studente</t>
  </si>
  <si>
    <t>Cognome studente</t>
  </si>
  <si>
    <t>ID studente</t>
  </si>
  <si>
    <t>Studente</t>
  </si>
  <si>
    <t>Nome studente</t>
  </si>
  <si>
    <t>Giorni di assenza</t>
  </si>
  <si>
    <t>Totale</t>
  </si>
  <si>
    <t>Sesso</t>
  </si>
  <si>
    <t>Data di nascita</t>
  </si>
  <si>
    <t>Scuola</t>
  </si>
  <si>
    <t>Voto</t>
  </si>
  <si>
    <t>Insegnante</t>
  </si>
  <si>
    <t>Stanza</t>
  </si>
  <si>
    <t>Relazione</t>
  </si>
  <si>
    <t>Telefono ufficio</t>
  </si>
  <si>
    <t>Telefono abitazione</t>
  </si>
  <si>
    <t>Contatto emergenze</t>
  </si>
  <si>
    <t>M</t>
  </si>
  <si>
    <t>Relazione contatto emergenze</t>
  </si>
  <si>
    <t>Telefono ufficio contatto emergenze</t>
  </si>
  <si>
    <t>Telefono abitazione contatto emergenze</t>
  </si>
  <si>
    <t>Nome e cognome studente</t>
  </si>
  <si>
    <t>Nonno</t>
  </si>
  <si>
    <t>Totali frequenza</t>
  </si>
  <si>
    <t>Agosto</t>
  </si>
  <si>
    <t>Settembre</t>
  </si>
  <si>
    <t>Ottobre</t>
  </si>
  <si>
    <t>Novembre</t>
  </si>
  <si>
    <t>Dicembre</t>
  </si>
  <si>
    <t>Gennaio</t>
  </si>
  <si>
    <t>Febbraio</t>
  </si>
  <si>
    <t>Marzo</t>
  </si>
  <si>
    <t>Aprile</t>
  </si>
  <si>
    <t>Maggio</t>
  </si>
  <si>
    <t>Giugno</t>
  </si>
  <si>
    <t>Luglio</t>
  </si>
  <si>
    <t>Inizio anno scolastico:</t>
  </si>
  <si>
    <t>Padre</t>
  </si>
  <si>
    <t>Genitore o tutore 1</t>
  </si>
  <si>
    <t>Relazione genitore/tutore 1</t>
  </si>
  <si>
    <t>Telefono abitazione genitore/tutore 1</t>
  </si>
  <si>
    <t>Relazione genitore/tutore 2</t>
  </si>
  <si>
    <t>Telefono ufficio genitore/tutore 2</t>
  </si>
  <si>
    <t>Telefono abitazione genitore/tutore 2</t>
  </si>
  <si>
    <t>Genitore/tutore 2</t>
  </si>
  <si>
    <t>Nome genitore o tutore 1</t>
  </si>
  <si>
    <t>Nome genitore o tutore 2</t>
  </si>
  <si>
    <t>In ritardo</t>
  </si>
  <si>
    <t>Giustificato</t>
  </si>
  <si>
    <t>Non giustificato</t>
  </si>
  <si>
    <t>Presente</t>
  </si>
  <si>
    <t>Scuola chiusa</t>
  </si>
  <si>
    <t>Frequenza</t>
  </si>
  <si>
    <t>RECORD DI FREQUENZA STUDENTE</t>
  </si>
  <si>
    <t>Davide</t>
  </si>
  <si>
    <t>Alessandri</t>
  </si>
  <si>
    <t>S001</t>
  </si>
  <si>
    <t>Daniela</t>
  </si>
  <si>
    <t>Michele Alessandri</t>
  </si>
  <si>
    <t>S002</t>
  </si>
  <si>
    <t>S003</t>
  </si>
  <si>
    <t>S004</t>
  </si>
  <si>
    <t>S005</t>
  </si>
  <si>
    <t xml:space="preserve">Liceo Artistico </t>
  </si>
  <si>
    <t>Luca Argentiero</t>
  </si>
  <si>
    <t>Davide Ruspini</t>
  </si>
  <si>
    <t xml:space="preserve">● </t>
  </si>
  <si>
    <t>1.</t>
  </si>
  <si>
    <t>2.</t>
  </si>
  <si>
    <t>3.</t>
  </si>
  <si>
    <t>Dopo aver inserito gli studenti nel foglio Elenco studenti, è possibile iniziare a registrare la frequenza per l'anno scolastico desiderato mediante la seguente procedura:</t>
  </si>
  <si>
    <t>DOVE SI INIZIA?</t>
  </si>
  <si>
    <t>DOPO AVER AGGIUNTO GLI STUDENTI, COME SI PROCEDE?</t>
  </si>
  <si>
    <t>COME SI AGGIUNGONO ALTRI STUDENTI A UN RECORD DI FREQUENZA MENSILE?</t>
  </si>
  <si>
    <t>È POSSIBILE VISUALIZZARE LA FREQUENZA DI UNO STUDENTE PER L'INTERO ANNO SCOLASTICO?</t>
  </si>
  <si>
    <t>Prima di iniziare a registrare la frequenza degli studenti, è necessario eseguire alcuni passaggi:</t>
  </si>
  <si>
    <t xml:space="preserve">LEGGENDA COLORI </t>
  </si>
  <si>
    <t>Posizionare il puntatore nell'ultima cella sopra la riga Totale, ad esempio la cella Giorni di assenza dell'ultimo studente, quindi premere TAB.</t>
  </si>
  <si>
    <t>Nell'angolo inferiore destro della tabella posizionare il mouse sul quadratino di ridimensionamento e trascinarlo verso il basso, per aumentare il numero di righe disponibili.</t>
  </si>
  <si>
    <t>Immettere quindi il record di frequenza per ogni giorno del mese utilizzando i tipi di frequenza indicati nella leggenda dei colori. La frequenza verrà quindi automaticamente calcolata in base al tipo per ogni studente nella colonna Totali. Le assenze totali per ogni giorno verranno automaticamente calcolate in fondo alla tabella, nella riga Totale.</t>
  </si>
  <si>
    <t>Telefono ufficio genitore/tutore 1</t>
  </si>
  <si>
    <t xml:space="preserve"> </t>
  </si>
  <si>
    <t>Totale giorni di assenza</t>
  </si>
  <si>
    <t>ELENCO STUDENTI</t>
  </si>
  <si>
    <t>COME UTILIZZARE QUESTO MODELLO</t>
  </si>
  <si>
    <t>Personalizzare un tema del documento.</t>
  </si>
  <si>
    <r>
      <t xml:space="preserve">Per aggiungere uno studente a un record di frequenza, fare clic in una cella sotto la colonna  </t>
    </r>
    <r>
      <rPr>
        <b/>
        <sz val="10"/>
        <color theme="1"/>
        <rFont val="Century Gothic"/>
        <family val="2"/>
        <scheme val="minor"/>
      </rPr>
      <t>ID studente</t>
    </r>
    <r>
      <rPr>
        <sz val="10"/>
        <color theme="1"/>
        <rFont val="Century Gothic"/>
        <family val="2"/>
        <scheme val="minor"/>
      </rPr>
      <t xml:space="preserve"> e selezionare un ID dall'elenco. Il nome dello studente verrà automaticamente visualizzato dopo la selezione di un ID. </t>
    </r>
  </si>
  <si>
    <r>
      <t xml:space="preserve">Fare clic con il pulsante destro del mouse nella tabella e scegliere </t>
    </r>
    <r>
      <rPr>
        <b/>
        <sz val="10"/>
        <color theme="1"/>
        <rFont val="Century Gothic"/>
        <family val="2"/>
        <scheme val="minor"/>
      </rPr>
      <t>Inserisci</t>
    </r>
    <r>
      <rPr>
        <sz val="10"/>
        <color theme="1"/>
        <rFont val="Century Gothic"/>
        <family val="2"/>
        <scheme val="minor"/>
      </rPr>
      <t xml:space="preserve"> dal menu di scelta rapida, quindi fare clic su </t>
    </r>
    <r>
      <rPr>
        <b/>
        <sz val="10"/>
        <color theme="1"/>
        <rFont val="Century Gothic"/>
        <family val="2"/>
        <scheme val="minor"/>
      </rPr>
      <t>Righe tabella sopra</t>
    </r>
    <r>
      <rPr>
        <sz val="10"/>
        <color theme="1"/>
        <rFont val="Century Gothic"/>
        <family val="2"/>
        <scheme val="minor"/>
      </rPr>
      <t xml:space="preserve"> o R</t>
    </r>
    <r>
      <rPr>
        <b/>
        <sz val="10"/>
        <color theme="1"/>
        <rFont val="Century Gothic"/>
        <family val="2"/>
        <scheme val="minor"/>
      </rPr>
      <t>ighe tabella sotto</t>
    </r>
    <r>
      <rPr>
        <sz val="10"/>
        <color theme="1"/>
        <rFont val="Century Gothic"/>
        <family val="2"/>
        <scheme val="minor"/>
      </rPr>
      <t xml:space="preserve">. </t>
    </r>
  </si>
  <si>
    <r>
      <rPr>
        <b/>
        <i/>
        <sz val="10"/>
        <color theme="4" tint="-0.499984740745262"/>
        <rFont val="Century Gothic"/>
        <family val="2"/>
        <scheme val="minor"/>
      </rPr>
      <t>(Facoltativo)</t>
    </r>
    <r>
      <rPr>
        <b/>
        <sz val="10"/>
        <color theme="4" tint="-0.499984740745262"/>
        <rFont val="Century Gothic"/>
        <family val="2"/>
        <scheme val="minor"/>
      </rPr>
      <t xml:space="preserve"> Modificare i colori nella cartella di lavoro:</t>
    </r>
    <r>
      <rPr>
        <b/>
        <sz val="10"/>
        <color theme="1"/>
        <rFont val="Century Gothic"/>
        <family val="2"/>
        <scheme val="minor"/>
      </rPr>
      <t xml:space="preserve"> </t>
    </r>
    <r>
      <rPr>
        <sz val="10"/>
        <color theme="1"/>
        <rFont val="Century Gothic"/>
        <family val="2"/>
        <scheme val="minor"/>
      </rPr>
      <t xml:space="preserve"> passare innanzitutto all'ultimo foglio, </t>
    </r>
    <r>
      <rPr>
        <b/>
        <sz val="10"/>
        <color theme="1"/>
        <rFont val="Century Gothic"/>
        <family val="2"/>
        <scheme val="minor"/>
      </rPr>
      <t>Report di frequenza studenti</t>
    </r>
    <r>
      <rPr>
        <sz val="10"/>
        <color theme="1"/>
        <rFont val="Century Gothic"/>
        <family val="2"/>
        <scheme val="minor"/>
      </rPr>
      <t xml:space="preserve"> e, nella scheda </t>
    </r>
    <r>
      <rPr>
        <b/>
        <sz val="10"/>
        <color theme="1"/>
        <rFont val="Century Gothic"/>
        <family val="2"/>
        <scheme val="minor"/>
      </rPr>
      <t>Revisione</t>
    </r>
    <r>
      <rPr>
        <sz val="10"/>
        <color theme="1"/>
        <rFont val="Century Gothic"/>
        <family val="2"/>
        <scheme val="minor"/>
      </rPr>
      <t xml:space="preserve"> , nel gruppo </t>
    </r>
    <r>
      <rPr>
        <b/>
        <sz val="10"/>
        <color theme="1"/>
        <rFont val="Century Gothic"/>
        <family val="2"/>
        <scheme val="minor"/>
      </rPr>
      <t>Modifiche</t>
    </r>
    <r>
      <rPr>
        <sz val="10"/>
        <color theme="1"/>
        <rFont val="Century Gothic"/>
        <family val="2"/>
        <scheme val="minor"/>
      </rPr>
      <t xml:space="preserve"> , fare clic su </t>
    </r>
    <r>
      <rPr>
        <b/>
        <sz val="10"/>
        <color theme="1"/>
        <rFont val="Century Gothic"/>
        <family val="2"/>
        <scheme val="minor"/>
      </rPr>
      <t>Rimuovi protezione foglio</t>
    </r>
    <r>
      <rPr>
        <sz val="10"/>
        <color theme="1"/>
        <rFont val="Century Gothic"/>
        <family val="2"/>
        <scheme val="minor"/>
      </rPr>
      <t xml:space="preserve">. Nella scheda </t>
    </r>
    <r>
      <rPr>
        <b/>
        <sz val="10"/>
        <color theme="1"/>
        <rFont val="Century Gothic"/>
        <family val="2"/>
        <scheme val="minor"/>
      </rPr>
      <t>Layout di pagina</t>
    </r>
    <r>
      <rPr>
        <sz val="10"/>
        <color theme="1"/>
        <rFont val="Century Gothic"/>
        <family val="2"/>
        <scheme val="minor"/>
      </rPr>
      <t xml:space="preserve"> , nel gruppo </t>
    </r>
    <r>
      <rPr>
        <b/>
        <sz val="10"/>
        <color theme="1"/>
        <rFont val="Century Gothic"/>
        <family val="2"/>
        <scheme val="minor"/>
      </rPr>
      <t>Temi</t>
    </r>
    <r>
      <rPr>
        <sz val="10"/>
        <color theme="1"/>
        <rFont val="Century Gothic"/>
        <family val="2"/>
        <scheme val="minor"/>
      </rPr>
      <t xml:space="preserve"> , fare clic su </t>
    </r>
    <r>
      <rPr>
        <b/>
        <sz val="10"/>
        <color theme="1"/>
        <rFont val="Century Gothic"/>
        <family val="2"/>
        <scheme val="minor"/>
      </rPr>
      <t>Colori</t>
    </r>
    <r>
      <rPr>
        <sz val="10"/>
        <color theme="1"/>
        <rFont val="Century Gothic"/>
        <family val="2"/>
        <scheme val="minor"/>
      </rPr>
      <t xml:space="preserve"> e selezionare un altro colore tema dalla raccolta dei colori. Dopo aver apportato le modifiche ai colori ed eventuali altre modifiche ai temi, tornare al foglio </t>
    </r>
    <r>
      <rPr>
        <b/>
        <sz val="10"/>
        <color theme="1"/>
        <rFont val="Century Gothic"/>
        <family val="2"/>
        <scheme val="minor"/>
      </rPr>
      <t>Report di frequenza studenti</t>
    </r>
    <r>
      <rPr>
        <sz val="10"/>
        <color theme="1"/>
        <rFont val="Century Gothic"/>
        <family val="2"/>
        <scheme val="minor"/>
      </rPr>
      <t xml:space="preserve"> e, nella scheda </t>
    </r>
    <r>
      <rPr>
        <b/>
        <sz val="10"/>
        <color theme="1"/>
        <rFont val="Century Gothic"/>
        <family val="2"/>
        <scheme val="minor"/>
      </rPr>
      <t>Revisione</t>
    </r>
    <r>
      <rPr>
        <sz val="10"/>
        <color theme="1"/>
        <rFont val="Century Gothic"/>
        <family val="2"/>
        <scheme val="minor"/>
      </rPr>
      <t xml:space="preserve"> , nel gruppo </t>
    </r>
    <r>
      <rPr>
        <b/>
        <sz val="10"/>
        <color theme="1"/>
        <rFont val="Century Gothic"/>
        <family val="2"/>
        <scheme val="minor"/>
      </rPr>
      <t>Modifiche</t>
    </r>
    <r>
      <rPr>
        <sz val="10"/>
        <color theme="1"/>
        <rFont val="Century Gothic"/>
        <family val="2"/>
        <scheme val="minor"/>
      </rPr>
      <t xml:space="preserve"> , fare clic su</t>
    </r>
    <r>
      <rPr>
        <b/>
        <sz val="10"/>
        <color theme="1"/>
        <rFont val="Century Gothic"/>
        <family val="2"/>
        <scheme val="minor"/>
      </rPr>
      <t xml:space="preserve"> Proteggi foglio</t>
    </r>
    <r>
      <rPr>
        <sz val="10"/>
        <color theme="1"/>
        <rFont val="Century Gothic"/>
        <family val="2"/>
        <scheme val="minor"/>
      </rPr>
      <t xml:space="preserve"> e quindi su </t>
    </r>
    <r>
      <rPr>
        <b/>
        <sz val="10"/>
        <color theme="1"/>
        <rFont val="Century Gothic"/>
        <family val="2"/>
        <scheme val="minor"/>
      </rPr>
      <t>OK.</t>
    </r>
  </si>
  <si>
    <r>
      <rPr>
        <b/>
        <sz val="10"/>
        <color theme="1"/>
        <rFont val="Century Gothic"/>
        <family val="2"/>
        <scheme val="minor"/>
      </rPr>
      <t xml:space="preserve">Suggerimento: </t>
    </r>
    <r>
      <rPr>
        <sz val="10"/>
        <color theme="1"/>
        <rFont val="Century Gothic"/>
        <family val="2"/>
        <scheme val="minor"/>
      </rPr>
      <t xml:space="preserve">salvare i passaggi di immissione dati. Dopo aver aggiunto gli studenti per un mese, selezionare gli ID studente immessi, copiarli e quindi incollarli nella colonna </t>
    </r>
    <r>
      <rPr>
        <b/>
        <sz val="10"/>
        <color theme="1"/>
        <rFont val="Century Gothic"/>
        <family val="2"/>
        <scheme val="minor"/>
      </rPr>
      <t>ID studente</t>
    </r>
    <r>
      <rPr>
        <sz val="10"/>
        <color theme="1"/>
        <rFont val="Century Gothic"/>
        <family val="2"/>
        <scheme val="minor"/>
      </rPr>
      <t xml:space="preserve"> per i mesi rimanenti. </t>
    </r>
  </si>
  <si>
    <r>
      <rPr>
        <b/>
        <sz val="10"/>
        <color theme="4" tint="-0.499984740745262"/>
        <rFont val="Century Gothic"/>
        <family val="2"/>
        <scheme val="minor"/>
      </rPr>
      <t>Modificare l'anno del calendario scolastico:</t>
    </r>
    <r>
      <rPr>
        <sz val="10"/>
        <color theme="4" tint="-0.499984740745262"/>
        <rFont val="Century Gothic"/>
        <family val="2"/>
        <scheme val="minor"/>
      </rPr>
      <t xml:space="preserve"> </t>
    </r>
    <r>
      <rPr>
        <sz val="10"/>
        <color theme="1"/>
        <rFont val="Century Gothic"/>
        <family val="2"/>
        <scheme val="minor"/>
      </rPr>
      <t xml:space="preserve">nel foglio di frequenza </t>
    </r>
    <r>
      <rPr>
        <b/>
        <sz val="10"/>
        <color theme="1"/>
        <rFont val="Century Gothic"/>
        <family val="2"/>
        <scheme val="minor"/>
      </rPr>
      <t>Agosto</t>
    </r>
    <r>
      <rPr>
        <sz val="10"/>
        <color theme="1"/>
        <rFont val="Century Gothic"/>
        <family val="2"/>
        <scheme val="minor"/>
      </rPr>
      <t xml:space="preserve"> fare clic sulla casella di selezione sul bordo superiore destro dell'intestazione per aggiornare l'anno del calendario scolastico. Questa modifica determinerà l'aggiornamento dell'intestazione su tutti i record di frequenza mensile della cartella di lavoro (si noti che la casella di selezione non verrà stampata).</t>
    </r>
    <phoneticPr fontId="44" type="noConversion"/>
  </si>
  <si>
    <r>
      <rPr>
        <b/>
        <sz val="10"/>
        <color theme="1"/>
        <rFont val="Century Gothic"/>
        <family val="2"/>
        <scheme val="minor"/>
      </rPr>
      <t>Suggerimento:</t>
    </r>
    <r>
      <rPr>
        <sz val="10"/>
        <color theme="1"/>
        <rFont val="Century Gothic"/>
        <family val="2"/>
        <scheme val="minor"/>
      </rPr>
      <t xml:space="preserve"> creare un set di colori tema personalizzato corrispondente ai colori della scuola. 
A tale scopo, nella scheda </t>
    </r>
    <r>
      <rPr>
        <b/>
        <sz val="10"/>
        <color theme="1"/>
        <rFont val="Century Gothic"/>
        <family val="2"/>
        <scheme val="minor"/>
      </rPr>
      <t>Layout di pagina</t>
    </r>
    <r>
      <rPr>
        <sz val="10"/>
        <color theme="1"/>
        <rFont val="Century Gothic"/>
        <family val="2"/>
        <scheme val="minor"/>
      </rPr>
      <t xml:space="preserve"> , nel gruppo </t>
    </r>
    <r>
      <rPr>
        <b/>
        <sz val="10"/>
        <color theme="1"/>
        <rFont val="Century Gothic"/>
        <family val="2"/>
        <scheme val="minor"/>
      </rPr>
      <t>Temi</t>
    </r>
    <r>
      <rPr>
        <sz val="10"/>
        <color theme="1"/>
        <rFont val="Century Gothic"/>
        <family val="2"/>
        <scheme val="minor"/>
      </rPr>
      <t xml:space="preserve"> , fare clic su </t>
    </r>
    <r>
      <rPr>
        <b/>
        <sz val="10"/>
        <color theme="1"/>
        <rFont val="Century Gothic"/>
        <family val="2"/>
        <scheme val="minor"/>
      </rPr>
      <t>Colori</t>
    </r>
    <r>
      <rPr>
        <sz val="10"/>
        <color theme="1"/>
        <rFont val="Century Gothic"/>
        <family val="2"/>
        <scheme val="minor"/>
      </rPr>
      <t xml:space="preserve"> e quindi, nella parte inferiore della raccolta dei colori, fare clic su </t>
    </r>
    <r>
      <rPr>
        <b/>
        <sz val="10"/>
        <color theme="1"/>
        <rFont val="Century Gothic"/>
        <family val="2"/>
        <scheme val="minor"/>
      </rPr>
      <t>Crea nuovi colori tema</t>
    </r>
    <r>
      <rPr>
        <sz val="10"/>
        <color theme="1"/>
        <rFont val="Century Gothic"/>
        <family val="2"/>
        <scheme val="minor"/>
      </rPr>
      <t xml:space="preserve">. Per ulteriori informazioni su come creare un set di colori personalizzato, visualizzare il seguente argomento della Guida: </t>
    </r>
    <phoneticPr fontId="44" type="noConversion"/>
  </si>
  <si>
    <r>
      <rPr>
        <b/>
        <sz val="10"/>
        <color theme="4" tint="-0.499984740745262"/>
        <rFont val="Century Gothic"/>
        <family val="2"/>
        <scheme val="minor"/>
      </rPr>
      <t>Aggiungere gli studenti</t>
    </r>
    <r>
      <rPr>
        <b/>
        <sz val="10"/>
        <color theme="1"/>
        <rFont val="Century Gothic"/>
        <family val="2"/>
        <scheme val="minor"/>
      </rPr>
      <t>:</t>
    </r>
    <r>
      <rPr>
        <sz val="10"/>
        <color theme="1"/>
        <rFont val="Century Gothic"/>
        <family val="2"/>
        <scheme val="minor"/>
      </rPr>
      <t xml:space="preserve"> nel foglio </t>
    </r>
    <r>
      <rPr>
        <b/>
        <sz val="10"/>
        <color theme="1"/>
        <rFont val="Century Gothic"/>
        <family val="2"/>
        <scheme val="minor"/>
      </rPr>
      <t>Elenco studenti</t>
    </r>
    <r>
      <rPr>
        <sz val="10"/>
        <color theme="1"/>
        <rFont val="Century Gothic"/>
        <family val="2"/>
        <scheme val="minor"/>
      </rPr>
      <t xml:space="preserve"> immettere le informazioni su ogni studente, 
ad esempio i nomi dei tutori e i dati di contatto. L'ID studente è una voce importante poiché fornisce un identificatore univoco per ogni studente e viene utilizzato nell'intera cartella di lavoro per i vari elenchi a discesa ID studente, per facilitare l'immissione dei dati. Le informazioni specificate nell'Elenco studenti vengono utilizzate anche negli altri fogli, ad esempio nel Report di frequenza studenti e nei diversi record di frequenza mensile.</t>
    </r>
    <phoneticPr fontId="44" type="noConversion"/>
  </si>
  <si>
    <t>I fogli dei record di frequenza mensile e l'Elenco studenti sono tabelle di Excel. Per aggiungere nuove righe a una tabella di Excel, eseguire una delle operazioni seguenti:</t>
    <phoneticPr fontId="44" type="noConversion"/>
  </si>
  <si>
    <t>Se la tabella non include una riga Totale, iniziare a digitare sotto di essa. La tabella verrà infatti automaticamente estesa quando si preme INVIO o TAB.</t>
    <phoneticPr fontId="44" type="noConversion"/>
  </si>
  <si>
    <r>
      <t xml:space="preserve">L'ultimo foglio di questa cartella di lavoro, Report di frequenza studenti, tiene traccia della frequenza ad oggi. Per visualizzare un report per uno specifico studente, fare clic nella cella sotto </t>
    </r>
    <r>
      <rPr>
        <b/>
        <sz val="10"/>
        <color theme="1"/>
        <rFont val="Century Gothic"/>
        <family val="2"/>
        <scheme val="minor"/>
      </rPr>
      <t>ID studente</t>
    </r>
    <r>
      <rPr>
        <sz val="10"/>
        <color theme="1"/>
        <rFont val="Century Gothic"/>
        <family val="2"/>
        <scheme val="minor"/>
      </rPr>
      <t xml:space="preserve"> e selezionare un ID dall'elenco a discesa. Le informazioni immesse in precedenza nel foglio Elenco studenti per lo studente selezionato verranno automaticamente visualizzate. Si noti che la prima volta che si utilizza il Report di frequenza studenti è necessario immettere Scuola, Voto, Insegnante e Stanza. 
Queste informazioni non verranno modificate se si seleziona un altro studente. </t>
    </r>
    <phoneticPr fontId="44" type="noConversion"/>
  </si>
  <si>
    <t>I</t>
    <phoneticPr fontId="44" type="noConversion"/>
  </si>
  <si>
    <t>G</t>
    <phoneticPr fontId="44" type="noConversion"/>
  </si>
  <si>
    <t>N</t>
    <phoneticPr fontId="44" type="noConversion"/>
  </si>
  <si>
    <t>S</t>
    <phoneticPr fontId="44" type="noConversion"/>
  </si>
  <si>
    <t>I</t>
    <phoneticPr fontId="44" type="noConversion"/>
  </si>
  <si>
    <t>I</t>
    <phoneticPr fontId="44" type="noConversion"/>
  </si>
  <si>
    <t>N</t>
    <phoneticPr fontId="44" type="noConversion"/>
  </si>
  <si>
    <t>G</t>
    <phoneticPr fontId="44" type="noConversion"/>
  </si>
  <si>
    <t>S</t>
    <phoneticPr fontId="44" type="noConversion"/>
  </si>
  <si>
    <t>S</t>
    <phoneticPr fontId="44" type="noConversion"/>
  </si>
  <si>
    <t>G</t>
    <phoneticPr fontId="44" type="noConversion"/>
  </si>
  <si>
    <t>N</t>
    <phoneticPr fontId="44" type="noConversion"/>
  </si>
  <si>
    <t>P</t>
    <phoneticPr fontId="44" type="noConversion"/>
  </si>
  <si>
    <t>Totale giorni di assenza</t>
    <phoneticPr fontId="44" type="noConversion"/>
  </si>
  <si>
    <t>Totale giorni di assenza</t>
    <phoneticPr fontId="4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</si>
</sst>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mm/dd/yy;@"/>
    <numFmt numFmtId="166" formatCode="[&lt;=9999999]###\-####;\(###\)\ ###\-####"/>
    <numFmt numFmtId="167" formatCode="0;0;;@"/>
    <numFmt numFmtId="168" formatCode="_)@"/>
    <numFmt numFmtId="169" formatCode="[$-410]mmm\-yy"/>
    <numFmt numFmtId="170" formatCode="d/m/yyyy;@"/>
  </numFmts>
  <fonts count="50">
    <font>
      <sz val="10"/>
      <color theme="1"/>
      <name val="Century Gothic"/>
      <family val="2"/>
      <scheme val="minor"/>
    </font>
    <font>
      <sz val="11"/>
      <color theme="1"/>
      <name val="Century Gothic"/>
      <family val="2"/>
      <scheme val="minor"/>
    </font>
    <font>
      <sz val="10"/>
      <name val="Century Gothic"/>
      <family val="2"/>
    </font>
    <font>
      <b/>
      <sz val="12"/>
      <name val="Arial"/>
      <family val="2"/>
    </font>
    <font>
      <sz val="9"/>
      <name val="Century Gothic"/>
      <family val="2"/>
    </font>
    <font>
      <b/>
      <sz val="20"/>
      <name val="Century Gothic"/>
      <family val="1"/>
      <scheme val="major"/>
    </font>
    <font>
      <sz val="16"/>
      <name val="Century Gothic"/>
      <family val="1"/>
      <scheme val="maj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sz val="9"/>
      <name val="Century Gothic"/>
      <family val="1"/>
      <scheme val="major"/>
    </font>
    <font>
      <b/>
      <sz val="8"/>
      <color theme="0"/>
      <name val="Century Gothic"/>
      <family val="1"/>
      <scheme val="major"/>
    </font>
    <font>
      <sz val="9"/>
      <color theme="0"/>
      <name val="Century Gothic"/>
      <family val="1"/>
      <scheme val="major"/>
    </font>
    <font>
      <sz val="10"/>
      <color theme="1"/>
      <name val="Century Gothic"/>
      <family val="1"/>
      <scheme val="major"/>
    </font>
    <font>
      <b/>
      <sz val="9"/>
      <color theme="0"/>
      <name val="Century Gothic"/>
      <family val="1"/>
      <scheme val="major"/>
    </font>
    <font>
      <sz val="10"/>
      <name val="Century Gothic"/>
      <family val="2"/>
      <scheme val="minor"/>
    </font>
    <font>
      <b/>
      <sz val="12"/>
      <name val="Century Gothic"/>
      <family val="2"/>
      <scheme val="minor"/>
    </font>
    <font>
      <b/>
      <sz val="22"/>
      <color theme="0"/>
      <name val="Century Gothic"/>
      <family val="2"/>
      <scheme val="major"/>
    </font>
    <font>
      <b/>
      <sz val="16"/>
      <color theme="0"/>
      <name val="Century Gothic"/>
      <family val="2"/>
      <scheme val="minor"/>
    </font>
    <font>
      <sz val="9"/>
      <name val="Century Gothic"/>
      <family val="2"/>
      <scheme val="minor"/>
    </font>
    <font>
      <b/>
      <sz val="10"/>
      <color theme="1"/>
      <name val="Century Gothic"/>
      <family val="2"/>
      <scheme val="minor"/>
    </font>
    <font>
      <sz val="10"/>
      <color theme="1"/>
      <name val="Century Gothic"/>
      <family val="2"/>
      <scheme val="major"/>
    </font>
    <font>
      <b/>
      <sz val="11"/>
      <color indexed="9"/>
      <name val="Century Gothic"/>
      <family val="1"/>
      <scheme val="major"/>
    </font>
    <font>
      <sz val="9"/>
      <color theme="1"/>
      <name val="Century Gothic"/>
      <family val="2"/>
      <scheme val="minor"/>
    </font>
    <font>
      <b/>
      <sz val="18"/>
      <color theme="0"/>
      <name val="Century Gothic"/>
      <family val="2"/>
      <scheme val="minor"/>
    </font>
    <font>
      <b/>
      <sz val="16"/>
      <color theme="0"/>
      <name val="Century Gothic"/>
      <family val="1"/>
      <scheme val="major"/>
    </font>
    <font>
      <sz val="8"/>
      <color theme="1"/>
      <name val="Century Gothic"/>
      <family val="2"/>
      <scheme val="minor"/>
    </font>
    <font>
      <b/>
      <sz val="16"/>
      <color theme="0"/>
      <name val="Century Gothic"/>
      <family val="2"/>
      <scheme val="major"/>
    </font>
    <font>
      <b/>
      <i/>
      <sz val="14"/>
      <color theme="0"/>
      <name val="Century Gothic"/>
      <family val="2"/>
      <scheme val="major"/>
    </font>
    <font>
      <sz val="12"/>
      <color theme="3"/>
      <name val="Century Gothic"/>
      <family val="2"/>
      <scheme val="minor"/>
    </font>
    <font>
      <sz val="10"/>
      <color theme="4" tint="-0.499984740745262"/>
      <name val="Century Gothic"/>
      <family val="2"/>
      <scheme val="minor"/>
    </font>
    <font>
      <u/>
      <sz val="10"/>
      <color theme="10"/>
      <name val="Arial"/>
      <family val="2"/>
    </font>
    <font>
      <b/>
      <sz val="10"/>
      <color theme="4" tint="-0.499984740745262"/>
      <name val="Century Gothic"/>
      <family val="2"/>
      <scheme val="minor"/>
    </font>
    <font>
      <b/>
      <i/>
      <sz val="10"/>
      <color theme="4" tint="-0.499984740745262"/>
      <name val="Century Gothic"/>
      <family val="2"/>
      <scheme val="minor"/>
    </font>
    <font>
      <b/>
      <sz val="9"/>
      <color theme="4" tint="-0.499984740745262"/>
      <name val="Century Gothic"/>
      <family val="1"/>
      <scheme val="major"/>
    </font>
    <font>
      <sz val="9"/>
      <name val="Century Gothic"/>
      <family val="1"/>
      <scheme val="minor"/>
    </font>
    <font>
      <b/>
      <sz val="9"/>
      <color theme="1" tint="0.14996795556505021"/>
      <name val="Century Gothic"/>
      <family val="1"/>
      <scheme val="major"/>
    </font>
    <font>
      <sz val="9"/>
      <color theme="3" tint="-0.249977111117893"/>
      <name val="Century Gothic"/>
      <family val="1"/>
      <scheme val="major"/>
    </font>
    <font>
      <b/>
      <sz val="9"/>
      <color theme="3" tint="-0.249977111117893"/>
      <name val="Century Gothic"/>
      <family val="1"/>
      <scheme val="major"/>
    </font>
    <font>
      <sz val="9"/>
      <color theme="3" tint="-0.249977111117893"/>
      <name val="Century Gothic"/>
      <family val="1"/>
      <scheme val="minor"/>
    </font>
    <font>
      <sz val="9"/>
      <color theme="1"/>
      <name val="Century Gothic"/>
      <family val="1"/>
      <scheme val="minor"/>
    </font>
    <font>
      <b/>
      <sz val="9"/>
      <color theme="1" tint="0.14996795556505021"/>
      <name val="Century Gothic"/>
      <family val="1"/>
      <scheme val="minor"/>
    </font>
    <font>
      <b/>
      <sz val="8"/>
      <name val="Century Gothic"/>
      <family val="2"/>
      <scheme val="major"/>
    </font>
    <font>
      <sz val="9"/>
      <name val="Century Gothic"/>
      <family val="3"/>
      <charset val="136"/>
      <scheme val="minor"/>
    </font>
    <font>
      <outline/>
      <shadow/>
      <sz val="10"/>
      <color theme="1"/>
      <name val="Century Gothic"/>
      <family val="2"/>
    </font>
    <font>
      <condense/>
      <extend/>
      <outline/>
      <shadow/>
      <sz val="10"/>
      <color theme="1"/>
      <name val="Century Gothic"/>
      <family val="2"/>
    </font>
    <font>
      <sz val="10"/>
      <color theme="1"/>
      <name val="Century Gothic"/>
      <family val="2"/>
    </font>
    <font>
      <outline/>
      <shadow/>
      <sz val="10"/>
      <color theme="1"/>
      <name val="Century Gothic"/>
    </font>
    <font>
      <sz val="10"/>
      <color theme="1"/>
      <name val="Century Gothic"/>
    </font>
  </fonts>
  <fills count="13">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tint="0.79998168889431442"/>
        <bgColor indexed="64"/>
      </patternFill>
    </fill>
    <fill>
      <patternFill patternType="solid">
        <fgColor theme="7"/>
        <bgColor indexed="64"/>
      </patternFill>
    </fill>
    <fill>
      <patternFill patternType="solid">
        <fgColor theme="8" tint="0.59999389629810485"/>
        <bgColor indexed="64"/>
      </patternFill>
    </fill>
  </fills>
  <borders count="16">
    <border>
      <left/>
      <right/>
      <top/>
      <bottom/>
      <diagonal/>
    </border>
    <border>
      <left style="thin">
        <color theme="3"/>
      </left>
      <right style="thin">
        <color theme="3"/>
      </right>
      <top style="thin">
        <color theme="3"/>
      </top>
      <bottom style="thin">
        <color theme="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4"/>
      </right>
      <top style="thin">
        <color theme="3"/>
      </top>
      <bottom style="thin">
        <color theme="3"/>
      </bottom>
      <diagonal/>
    </border>
    <border>
      <left/>
      <right style="thin">
        <color theme="3"/>
      </right>
      <top style="thin">
        <color theme="3"/>
      </top>
      <bottom style="thin">
        <color theme="3"/>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bottom style="medium">
        <color theme="4" tint="-0.499984740745262"/>
      </bottom>
      <diagonal/>
    </border>
    <border>
      <left style="thin">
        <color theme="3" tint="0.59996337778862885"/>
      </left>
      <right style="thin">
        <color theme="3" tint="0.59996337778862885"/>
      </right>
      <top/>
      <bottom style="thin">
        <color theme="3" tint="0.59996337778862885"/>
      </bottom>
      <diagonal/>
    </border>
    <border>
      <left/>
      <right style="thin">
        <color theme="0" tint="-0.34998626667073579"/>
      </right>
      <top/>
      <bottom style="medium">
        <color theme="4" tint="-0.499984740745262"/>
      </bottom>
      <diagonal/>
    </border>
    <border>
      <left style="thin">
        <color theme="0" tint="-0.34998626667073579"/>
      </left>
      <right style="thin">
        <color theme="0" tint="-0.34998626667073579"/>
      </right>
      <top/>
      <bottom style="medium">
        <color theme="4" tint="-0.499984740745262"/>
      </bottom>
      <diagonal/>
    </border>
    <border>
      <left style="thin">
        <color theme="3" tint="0.59996337778862885"/>
      </left>
      <right style="thin">
        <color theme="3" tint="0.59996337778862885"/>
      </right>
      <top style="thin">
        <color theme="3" tint="0.59996337778862885"/>
      </top>
      <bottom/>
      <diagonal/>
    </border>
  </borders>
  <cellStyleXfs count="13">
    <xf numFmtId="0" fontId="0" fillId="0" borderId="0"/>
    <xf numFmtId="0" fontId="18" fillId="0" borderId="0" applyNumberFormat="0" applyFill="0" applyBorder="0" applyAlignment="0" applyProtection="0"/>
    <xf numFmtId="0" fontId="7" fillId="3" borderId="2">
      <alignment vertical="center"/>
    </xf>
    <xf numFmtId="0" fontId="8" fillId="0" borderId="2">
      <alignment horizontal="left" vertical="center" wrapText="1"/>
      <protection locked="0"/>
    </xf>
    <xf numFmtId="165" fontId="8" fillId="0" borderId="2">
      <alignment horizontal="left" vertical="center" wrapText="1"/>
      <protection locked="0"/>
    </xf>
    <xf numFmtId="166" fontId="8" fillId="0" borderId="2">
      <alignment horizontal="left" vertical="center" wrapText="1"/>
      <protection locked="0"/>
    </xf>
    <xf numFmtId="0" fontId="9" fillId="4" borderId="3" applyBorder="0">
      <alignment horizontal="center" vertical="center"/>
    </xf>
    <xf numFmtId="1" fontId="9" fillId="4" borderId="2">
      <alignment horizontal="center" vertical="center"/>
    </xf>
    <xf numFmtId="0" fontId="10" fillId="5" borderId="2">
      <alignment horizontal="center" vertical="center"/>
      <protection locked="0"/>
    </xf>
    <xf numFmtId="0" fontId="10" fillId="6" borderId="2">
      <alignment horizontal="center" vertical="center"/>
    </xf>
    <xf numFmtId="0" fontId="19"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cellStyleXfs>
  <cellXfs count="152">
    <xf numFmtId="0" fontId="0" fillId="0" borderId="0" xfId="0"/>
    <xf numFmtId="0" fontId="2" fillId="0" borderId="0" xfId="0" applyFont="1" applyFill="1" applyAlignment="1">
      <alignment vertical="center"/>
    </xf>
    <xf numFmtId="0" fontId="4"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164" fontId="0"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indent="2"/>
    </xf>
    <xf numFmtId="0" fontId="2" fillId="0" borderId="0" xfId="0" applyFont="1" applyAlignment="1">
      <alignment horizontal="center"/>
    </xf>
    <xf numFmtId="0" fontId="2" fillId="0" borderId="0" xfId="0" applyFont="1"/>
    <xf numFmtId="49" fontId="2" fillId="0" borderId="0" xfId="0" applyNumberFormat="1" applyFont="1"/>
    <xf numFmtId="0" fontId="0" fillId="0" borderId="0" xfId="0" applyAlignment="1">
      <alignment horizontal="left"/>
    </xf>
    <xf numFmtId="0" fontId="0" fillId="0" borderId="0" xfId="0" applyAlignment="1">
      <alignment horizontal="center" wrapText="1"/>
    </xf>
    <xf numFmtId="0" fontId="0" fillId="0" borderId="0" xfId="0" applyAlignment="1">
      <alignment horizontal="center"/>
    </xf>
    <xf numFmtId="14" fontId="0" fillId="0" borderId="0" xfId="0" applyNumberFormat="1" applyAlignment="1">
      <alignment horizontal="center"/>
    </xf>
    <xf numFmtId="166" fontId="0" fillId="0" borderId="0" xfId="0" applyNumberFormat="1" applyAlignment="1">
      <alignment horizontal="left"/>
    </xf>
    <xf numFmtId="0" fontId="0" fillId="0" borderId="0" xfId="0" applyProtection="1"/>
    <xf numFmtId="166" fontId="0" fillId="0" borderId="0" xfId="0" applyNumberFormat="1" applyAlignment="1">
      <alignment horizontal="center"/>
    </xf>
    <xf numFmtId="167" fontId="0" fillId="0" borderId="0" xfId="0" applyNumberFormat="1"/>
    <xf numFmtId="164" fontId="0" fillId="0" borderId="0" xfId="0" applyNumberFormat="1" applyFont="1" applyFill="1" applyBorder="1" applyAlignment="1" applyProtection="1">
      <alignment horizontal="center" vertical="center"/>
      <protection locked="0"/>
    </xf>
    <xf numFmtId="167"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Protection="1">
      <protection locked="0"/>
    </xf>
    <xf numFmtId="0" fontId="14" fillId="0" borderId="0" xfId="0" applyFont="1" applyFill="1" applyBorder="1" applyAlignment="1">
      <alignment vertical="center"/>
    </xf>
    <xf numFmtId="49" fontId="14" fillId="0" borderId="0" xfId="0" applyNumberFormat="1" applyFont="1" applyFill="1" applyBorder="1" applyAlignment="1">
      <alignment horizontal="left" vertical="center"/>
    </xf>
    <xf numFmtId="0" fontId="14" fillId="0" borderId="0" xfId="0" applyFont="1" applyFill="1" applyBorder="1" applyAlignment="1">
      <alignment horizontal="center" vertical="center"/>
    </xf>
    <xf numFmtId="0" fontId="0" fillId="0" borderId="0" xfId="0" applyFont="1" applyBorder="1" applyAlignment="1">
      <alignment vertical="center"/>
    </xf>
    <xf numFmtId="0" fontId="16" fillId="0" borderId="0" xfId="0" applyFont="1" applyFill="1" applyAlignment="1">
      <alignment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16" fillId="0" borderId="0" xfId="0" applyFont="1" applyFill="1" applyAlignment="1">
      <alignment horizontal="center" vertical="center"/>
    </xf>
    <xf numFmtId="164" fontId="0" fillId="0" borderId="0" xfId="0" applyNumberFormat="1" applyAlignment="1">
      <alignment horizontal="center"/>
    </xf>
    <xf numFmtId="49" fontId="18" fillId="7" borderId="0" xfId="1" applyNumberFormat="1" applyFill="1" applyBorder="1" applyAlignment="1">
      <alignment vertical="center"/>
    </xf>
    <xf numFmtId="0" fontId="2" fillId="7" borderId="0" xfId="0" applyFont="1" applyFill="1" applyAlignment="1">
      <alignment vertical="center"/>
    </xf>
    <xf numFmtId="0" fontId="0" fillId="7" borderId="0" xfId="0" applyFill="1" applyBorder="1" applyAlignment="1">
      <alignment vertical="center"/>
    </xf>
    <xf numFmtId="0" fontId="3" fillId="7" borderId="0" xfId="0" applyFont="1" applyFill="1" applyBorder="1" applyAlignment="1">
      <alignment vertical="center"/>
    </xf>
    <xf numFmtId="0" fontId="2" fillId="7" borderId="0" xfId="0" applyFont="1" applyFill="1" applyAlignment="1">
      <alignment horizontal="center" vertical="center"/>
    </xf>
    <xf numFmtId="0" fontId="13" fillId="7" borderId="1" xfId="0" applyFont="1" applyFill="1" applyBorder="1" applyAlignment="1">
      <alignment horizontal="center"/>
    </xf>
    <xf numFmtId="0" fontId="0" fillId="7" borderId="0" xfId="0" applyFill="1"/>
    <xf numFmtId="0" fontId="20" fillId="0" borderId="0" xfId="0" applyFont="1" applyFill="1" applyAlignment="1">
      <alignment horizontal="right" vertical="center"/>
    </xf>
    <xf numFmtId="0" fontId="0" fillId="0" borderId="0" xfId="0" applyFont="1" applyFill="1" applyBorder="1" applyAlignment="1">
      <alignment vertical="center"/>
    </xf>
    <xf numFmtId="49" fontId="0" fillId="0" borderId="0" xfId="0" applyNumberFormat="1" applyFont="1" applyFill="1" applyBorder="1" applyAlignment="1">
      <alignment horizontal="left" vertical="center"/>
    </xf>
    <xf numFmtId="0" fontId="0" fillId="0" borderId="0" xfId="0" applyFont="1" applyFill="1" applyBorder="1" applyProtection="1">
      <protection locked="0"/>
    </xf>
    <xf numFmtId="164" fontId="0" fillId="0" borderId="0" xfId="0" applyNumberFormat="1" applyFont="1" applyFill="1" applyBorder="1"/>
    <xf numFmtId="164" fontId="0" fillId="0" borderId="0" xfId="0" applyNumberFormat="1" applyFont="1" applyFill="1" applyBorder="1" applyAlignment="1">
      <alignment horizontal="center"/>
    </xf>
    <xf numFmtId="0" fontId="22" fillId="0" borderId="0" xfId="0" applyFont="1" applyFill="1" applyBorder="1" applyAlignment="1">
      <alignment horizontal="left" vertical="center"/>
    </xf>
    <xf numFmtId="0" fontId="24" fillId="11" borderId="0" xfId="0" applyFont="1" applyFill="1" applyBorder="1" applyAlignment="1">
      <alignment horizontal="center" vertical="center"/>
    </xf>
    <xf numFmtId="0" fontId="24" fillId="9" borderId="0" xfId="0" applyFont="1" applyFill="1" applyBorder="1" applyAlignment="1">
      <alignment horizontal="center" vertical="center"/>
    </xf>
    <xf numFmtId="0" fontId="24" fillId="8" borderId="0" xfId="0" applyFont="1" applyFill="1" applyBorder="1" applyAlignment="1">
      <alignment horizontal="center" vertical="center"/>
    </xf>
    <xf numFmtId="0" fontId="24" fillId="10" borderId="0" xfId="0" applyFont="1" applyFill="1" applyBorder="1" applyAlignment="1">
      <alignment horizontal="center" vertical="center"/>
    </xf>
    <xf numFmtId="0" fontId="24" fillId="12" borderId="0" xfId="0" applyFont="1" applyFill="1" applyBorder="1" applyAlignment="1">
      <alignment horizontal="center" vertical="center"/>
    </xf>
    <xf numFmtId="0" fontId="24" fillId="0" borderId="0" xfId="0" applyFont="1" applyBorder="1" applyAlignment="1">
      <alignment vertical="center"/>
    </xf>
    <xf numFmtId="0" fontId="25" fillId="7" borderId="0" xfId="0" applyFont="1" applyFill="1" applyBorder="1" applyAlignment="1">
      <alignment horizontal="right" vertical="center"/>
    </xf>
    <xf numFmtId="0" fontId="25" fillId="7" borderId="0" xfId="0" applyFont="1" applyFill="1" applyBorder="1" applyAlignment="1">
      <alignment horizontal="center" vertical="center"/>
    </xf>
    <xf numFmtId="0" fontId="24" fillId="0" borderId="0" xfId="0" applyFont="1" applyAlignment="1">
      <alignment vertical="center"/>
    </xf>
    <xf numFmtId="0" fontId="11" fillId="7" borderId="7" xfId="0" applyFont="1" applyFill="1" applyBorder="1"/>
    <xf numFmtId="0" fontId="5" fillId="7" borderId="0" xfId="0" applyFont="1" applyFill="1" applyBorder="1" applyAlignment="1" applyProtection="1">
      <alignment vertical="center"/>
    </xf>
    <xf numFmtId="0" fontId="6" fillId="7" borderId="0" xfId="0" applyFont="1" applyFill="1" applyBorder="1" applyAlignment="1" applyProtection="1">
      <alignment horizontal="right" vertical="center"/>
    </xf>
    <xf numFmtId="0" fontId="0" fillId="7" borderId="0" xfId="0" applyFill="1" applyProtection="1"/>
    <xf numFmtId="0" fontId="18" fillId="7" borderId="0" xfId="1" applyFill="1" applyBorder="1" applyAlignment="1" applyProtection="1">
      <alignment vertical="center"/>
    </xf>
    <xf numFmtId="167" fontId="8" fillId="0" borderId="0" xfId="3" applyNumberFormat="1" applyBorder="1" applyAlignment="1" applyProtection="1">
      <alignment horizontal="left" vertical="center" wrapText="1" indent="1"/>
    </xf>
    <xf numFmtId="166" fontId="8" fillId="0" borderId="0" xfId="5" applyBorder="1" applyAlignment="1" applyProtection="1">
      <alignment horizontal="left" vertical="center" wrapText="1" indent="1"/>
    </xf>
    <xf numFmtId="0" fontId="24" fillId="0" borderId="0" xfId="0" applyFont="1" applyAlignment="1">
      <alignment horizontal="left" vertical="center"/>
    </xf>
    <xf numFmtId="0" fontId="0" fillId="8" borderId="0" xfId="0" applyFont="1" applyFill="1" applyBorder="1" applyAlignment="1">
      <alignment horizontal="center"/>
    </xf>
    <xf numFmtId="0" fontId="0" fillId="9" borderId="0" xfId="0" applyFont="1" applyFill="1" applyBorder="1" applyAlignment="1">
      <alignment horizontal="center"/>
    </xf>
    <xf numFmtId="0" fontId="0" fillId="10" borderId="0" xfId="0" applyFont="1" applyFill="1" applyBorder="1" applyAlignment="1">
      <alignment horizontal="center"/>
    </xf>
    <xf numFmtId="0" fontId="27" fillId="0" borderId="0" xfId="0" applyFont="1"/>
    <xf numFmtId="0" fontId="27" fillId="11" borderId="0" xfId="0" applyFont="1" applyFill="1" applyAlignment="1">
      <alignment horizontal="center"/>
    </xf>
    <xf numFmtId="0" fontId="27" fillId="9" borderId="0" xfId="0" applyFont="1" applyFill="1" applyAlignment="1">
      <alignment horizontal="center"/>
    </xf>
    <xf numFmtId="0" fontId="27" fillId="8" borderId="0" xfId="0" applyFont="1" applyFill="1" applyAlignment="1">
      <alignment horizontal="center"/>
    </xf>
    <xf numFmtId="0" fontId="27" fillId="0" borderId="0" xfId="0" applyFont="1" applyProtection="1"/>
    <xf numFmtId="0" fontId="27" fillId="10" borderId="0" xfId="0" applyFont="1" applyFill="1" applyAlignment="1">
      <alignment horizontal="center"/>
    </xf>
    <xf numFmtId="0" fontId="27" fillId="12" borderId="0" xfId="0" applyFont="1" applyFill="1" applyAlignment="1">
      <alignment horizontal="center"/>
    </xf>
    <xf numFmtId="167" fontId="10" fillId="0" borderId="0" xfId="3" applyNumberFormat="1" applyFont="1" applyBorder="1" applyAlignment="1" applyProtection="1">
      <alignment horizontal="left"/>
    </xf>
    <xf numFmtId="167" fontId="10" fillId="0" borderId="0" xfId="3" applyNumberFormat="1" applyFont="1" applyBorder="1" applyAlignment="1" applyProtection="1">
      <alignment horizontal="left" vertical="center" wrapText="1" indent="1"/>
    </xf>
    <xf numFmtId="166" fontId="10" fillId="0" borderId="0" xfId="5" applyFont="1" applyBorder="1" applyAlignment="1" applyProtection="1">
      <alignment horizontal="left" vertical="center" wrapText="1" indent="1"/>
    </xf>
    <xf numFmtId="167" fontId="28" fillId="7" borderId="0" xfId="1" applyNumberFormat="1" applyFont="1" applyFill="1" applyBorder="1" applyAlignment="1" applyProtection="1">
      <alignment vertical="center"/>
    </xf>
    <xf numFmtId="0" fontId="29" fillId="7" borderId="0" xfId="1" applyFont="1" applyFill="1" applyBorder="1" applyAlignment="1" applyProtection="1">
      <alignment horizontal="left" vertical="center" indent="1"/>
    </xf>
    <xf numFmtId="0" fontId="1" fillId="7" borderId="0" xfId="0" applyFont="1" applyFill="1"/>
    <xf numFmtId="0" fontId="0" fillId="0" borderId="0" xfId="0" applyAlignment="1">
      <alignment horizontal="center" vertical="center" wrapText="1"/>
    </xf>
    <xf numFmtId="0" fontId="0" fillId="0" borderId="0" xfId="0" applyAlignment="1">
      <alignment horizontal="left" vertical="center" wrapText="1"/>
    </xf>
    <xf numFmtId="0" fontId="18" fillId="7" borderId="0" xfId="1" applyFill="1" applyAlignment="1">
      <alignment horizontal="left" vertical="center" indent="1"/>
    </xf>
    <xf numFmtId="0" fontId="30" fillId="0" borderId="0" xfId="11"/>
    <xf numFmtId="0" fontId="0" fillId="0" borderId="0" xfId="0" applyAlignment="1">
      <alignment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49" fontId="0" fillId="11" borderId="0" xfId="0" applyNumberFormat="1" applyFont="1" applyFill="1" applyBorder="1" applyAlignment="1">
      <alignment horizontal="center"/>
    </xf>
    <xf numFmtId="0" fontId="0" fillId="0" borderId="0" xfId="0" quotePrefix="1" applyAlignment="1">
      <alignment vertical="top"/>
    </xf>
    <xf numFmtId="0" fontId="0" fillId="0" borderId="0" xfId="0" applyFill="1"/>
    <xf numFmtId="0" fontId="0" fillId="0" borderId="0" xfId="0" applyAlignment="1">
      <alignment vertical="center" wrapText="1"/>
    </xf>
    <xf numFmtId="0" fontId="30" fillId="0" borderId="0" xfId="11" applyAlignment="1">
      <alignment vertical="top"/>
    </xf>
    <xf numFmtId="0" fontId="18" fillId="7" borderId="0" xfId="1" applyFont="1" applyFill="1" applyAlignment="1">
      <alignment horizontal="left" vertical="center" indent="1"/>
    </xf>
    <xf numFmtId="0" fontId="0" fillId="0" borderId="0" xfId="0" applyAlignment="1">
      <alignment wrapText="1"/>
    </xf>
    <xf numFmtId="168" fontId="35" fillId="2" borderId="9" xfId="2" applyNumberFormat="1" applyFont="1" applyFill="1" applyBorder="1" applyAlignment="1" applyProtection="1">
      <alignment vertical="center"/>
    </xf>
    <xf numFmtId="168" fontId="35" fillId="2" borderId="10" xfId="2" applyNumberFormat="1" applyFont="1" applyFill="1" applyBorder="1" applyAlignment="1" applyProtection="1">
      <alignment vertical="center"/>
    </xf>
    <xf numFmtId="0" fontId="36" fillId="0" borderId="8" xfId="3" applyFont="1" applyBorder="1" applyAlignment="1" applyProtection="1">
      <alignment horizontal="center" vertical="center" wrapText="1"/>
      <protection locked="0"/>
    </xf>
    <xf numFmtId="0" fontId="38" fillId="2" borderId="12" xfId="0" applyFont="1" applyFill="1" applyBorder="1" applyAlignment="1" applyProtection="1">
      <alignment horizontal="center" vertical="center"/>
    </xf>
    <xf numFmtId="164" fontId="40" fillId="0" borderId="8" xfId="8" applyNumberFormat="1" applyFont="1" applyFill="1" applyBorder="1" applyProtection="1">
      <alignment horizontal="center" vertical="center"/>
    </xf>
    <xf numFmtId="164" fontId="38" fillId="2" borderId="8" xfId="0" applyNumberFormat="1" applyFont="1" applyFill="1" applyBorder="1" applyAlignment="1" applyProtection="1">
      <alignment horizontal="center" vertical="center"/>
    </xf>
    <xf numFmtId="0" fontId="41" fillId="0" borderId="0" xfId="0" applyFont="1" applyProtection="1"/>
    <xf numFmtId="0" fontId="36" fillId="0" borderId="0" xfId="0" applyFont="1" applyFill="1" applyBorder="1" applyProtection="1"/>
    <xf numFmtId="164" fontId="39" fillId="0" borderId="8" xfId="7" applyNumberFormat="1" applyFont="1" applyFill="1" applyBorder="1" applyProtection="1">
      <alignment horizontal="center" vertical="center"/>
    </xf>
    <xf numFmtId="0" fontId="35" fillId="2" borderId="8" xfId="2" applyNumberFormat="1" applyFont="1" applyFill="1" applyBorder="1" applyAlignment="1" applyProtection="1">
      <alignment vertical="center"/>
    </xf>
    <xf numFmtId="0" fontId="43" fillId="11" borderId="13" xfId="0" applyFont="1" applyFill="1" applyBorder="1" applyAlignment="1" applyProtection="1">
      <alignment horizontal="center" vertical="center"/>
    </xf>
    <xf numFmtId="0" fontId="43" fillId="9" borderId="14" xfId="0" applyFont="1" applyFill="1" applyBorder="1" applyAlignment="1" applyProtection="1">
      <alignment horizontal="center" vertical="center"/>
    </xf>
    <xf numFmtId="0" fontId="43" fillId="8" borderId="14" xfId="0" applyFont="1" applyFill="1" applyBorder="1" applyAlignment="1" applyProtection="1">
      <alignment horizontal="center" vertical="center"/>
    </xf>
    <xf numFmtId="0" fontId="43" fillId="10" borderId="14" xfId="0" applyFont="1" applyFill="1" applyBorder="1" applyAlignment="1" applyProtection="1">
      <alignment horizontal="center" vertical="center"/>
    </xf>
    <xf numFmtId="0" fontId="18" fillId="7" borderId="0" xfId="1" applyNumberFormat="1" applyFill="1" applyBorder="1" applyAlignment="1">
      <alignment vertical="center"/>
    </xf>
    <xf numFmtId="164" fontId="45"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Fill="1" applyBorder="1" applyAlignment="1">
      <alignment horizontal="left" vertical="center"/>
    </xf>
    <xf numFmtId="164" fontId="46" fillId="0" borderId="0"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0" xfId="0" applyNumberFormat="1" applyFont="1" applyFill="1" applyBorder="1" applyAlignment="1">
      <alignment horizontal="left" vertical="center"/>
    </xf>
    <xf numFmtId="169" fontId="23" fillId="7" borderId="4" xfId="0" applyNumberFormat="1" applyFont="1" applyFill="1" applyBorder="1" applyAlignment="1">
      <alignment horizontal="left" vertical="center"/>
    </xf>
    <xf numFmtId="164" fontId="2" fillId="0" borderId="0" xfId="0" applyNumberFormat="1" applyFont="1"/>
    <xf numFmtId="164" fontId="46" fillId="0" borderId="0" xfId="0" applyNumberFormat="1" applyFont="1" applyFill="1" applyBorder="1" applyAlignment="1">
      <alignment horizontal="left" vertical="center"/>
    </xf>
    <xf numFmtId="170" fontId="0" fillId="0" borderId="0" xfId="0" applyNumberFormat="1" applyAlignment="1">
      <alignment horizontal="center"/>
    </xf>
    <xf numFmtId="0" fontId="48" fillId="0" borderId="0" xfId="0" applyFont="1" applyFill="1" applyBorder="1" applyAlignment="1">
      <alignment horizontal="center" vertical="center"/>
    </xf>
    <xf numFmtId="0" fontId="49" fillId="0" borderId="0" xfId="0" applyFont="1" applyFill="1" applyBorder="1" applyAlignment="1">
      <alignment horizontal="left" vertical="center"/>
    </xf>
    <xf numFmtId="164" fontId="48" fillId="0" borderId="0" xfId="0"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wrapText="1"/>
    </xf>
    <xf numFmtId="0" fontId="32" fillId="0" borderId="0" xfId="12" quotePrefix="1" applyAlignment="1">
      <alignment vertical="top" wrapText="1"/>
    </xf>
    <xf numFmtId="0" fontId="15" fillId="7" borderId="4" xfId="0" applyFont="1" applyFill="1" applyBorder="1" applyAlignment="1">
      <alignment horizontal="center"/>
    </xf>
    <xf numFmtId="0" fontId="15" fillId="7" borderId="5" xfId="0" applyFont="1" applyFill="1" applyBorder="1" applyAlignment="1">
      <alignment horizontal="center"/>
    </xf>
    <xf numFmtId="0" fontId="15" fillId="7" borderId="6" xfId="0" applyFont="1" applyFill="1" applyBorder="1" applyAlignment="1">
      <alignment horizontal="center"/>
    </xf>
    <xf numFmtId="0" fontId="15" fillId="7" borderId="1" xfId="0" applyFont="1" applyFill="1" applyBorder="1" applyAlignment="1">
      <alignment horizontal="center"/>
    </xf>
    <xf numFmtId="164" fontId="39" fillId="0" borderId="15" xfId="7" applyNumberFormat="1" applyFont="1" applyFill="1" applyBorder="1" applyProtection="1">
      <alignment horizontal="center" vertical="center"/>
    </xf>
    <xf numFmtId="164" fontId="39" fillId="0" borderId="12" xfId="7" applyNumberFormat="1" applyFont="1" applyFill="1" applyBorder="1" applyProtection="1">
      <alignment horizontal="center" vertical="center"/>
    </xf>
    <xf numFmtId="0" fontId="42" fillId="0" borderId="0" xfId="0" applyFont="1" applyFill="1" applyBorder="1" applyAlignment="1" applyProtection="1">
      <alignment horizontal="right" vertical="center"/>
    </xf>
    <xf numFmtId="0" fontId="37" fillId="2" borderId="8" xfId="6" applyFont="1" applyFill="1" applyBorder="1" applyProtection="1">
      <alignment horizontal="center" vertical="center"/>
    </xf>
    <xf numFmtId="164" fontId="39" fillId="0" borderId="8" xfId="7" applyNumberFormat="1" applyFont="1" applyFill="1" applyBorder="1" applyProtection="1">
      <alignment horizontal="center" vertical="center"/>
    </xf>
    <xf numFmtId="0" fontId="37" fillId="2" borderId="15" xfId="6" applyFont="1" applyFill="1" applyBorder="1" applyProtection="1">
      <alignment horizontal="center" vertical="center"/>
    </xf>
    <xf numFmtId="0" fontId="37" fillId="2" borderId="12" xfId="6" applyFont="1" applyFill="1" applyBorder="1" applyProtection="1">
      <alignment horizontal="center" vertical="center"/>
    </xf>
    <xf numFmtId="0" fontId="12" fillId="7" borderId="0" xfId="0" applyFont="1" applyFill="1" applyBorder="1" applyAlignment="1" applyProtection="1">
      <alignment horizontal="center" vertical="center"/>
    </xf>
    <xf numFmtId="0" fontId="36" fillId="0" borderId="8" xfId="3" applyFont="1" applyBorder="1" applyAlignment="1" applyProtection="1">
      <alignment horizontal="left" vertical="center" wrapText="1" indent="1"/>
      <protection locked="0"/>
    </xf>
    <xf numFmtId="167" fontId="36" fillId="0" borderId="8" xfId="3" applyNumberFormat="1" applyFont="1" applyBorder="1" applyAlignment="1" applyProtection="1">
      <alignment horizontal="left" vertical="center" wrapText="1" indent="1"/>
    </xf>
    <xf numFmtId="168" fontId="35" fillId="2" borderId="8" xfId="2" applyNumberFormat="1" applyFont="1" applyFill="1" applyBorder="1" applyAlignment="1" applyProtection="1">
      <alignment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35" fillId="2" borderId="8" xfId="2" applyNumberFormat="1" applyFont="1" applyFill="1" applyBorder="1" applyProtection="1">
      <alignment vertical="center"/>
    </xf>
    <xf numFmtId="0" fontId="36" fillId="0" borderId="8" xfId="3" applyFont="1" applyBorder="1" applyAlignment="1" applyProtection="1">
      <alignment horizontal="center" vertical="center" wrapText="1"/>
      <protection locked="0"/>
    </xf>
    <xf numFmtId="168" fontId="35" fillId="2" borderId="8" xfId="2" applyNumberFormat="1" applyFont="1" applyFill="1" applyBorder="1" applyProtection="1">
      <alignment vertical="center"/>
    </xf>
    <xf numFmtId="166" fontId="36" fillId="0" borderId="8" xfId="5" applyFont="1" applyBorder="1" applyAlignment="1" applyProtection="1">
      <alignment horizontal="left" vertical="center" wrapText="1" indent="1"/>
    </xf>
    <xf numFmtId="167" fontId="36" fillId="0" borderId="8" xfId="3" applyNumberFormat="1" applyFont="1" applyBorder="1" applyAlignment="1" applyProtection="1">
      <alignment horizontal="center" vertical="center" wrapText="1"/>
    </xf>
    <xf numFmtId="14" fontId="36" fillId="0" borderId="8" xfId="4" applyNumberFormat="1" applyFont="1" applyBorder="1" applyAlignment="1" applyProtection="1">
      <alignment horizontal="center" vertical="center" wrapText="1"/>
    </xf>
  </cellXfs>
  <cellStyles count="13">
    <cellStyle name="Attendance Totals" xfId="7"/>
    <cellStyle name="Birthdate" xfId="4"/>
    <cellStyle name="Collegamento ipertestuale" xfId="12" builtinId="8"/>
    <cellStyle name="Month" xfId="6"/>
    <cellStyle name="Normale" xfId="0" builtinId="0" customBuiltin="1"/>
    <cellStyle name="Phone Number" xfId="5"/>
    <cellStyle name="Student Information" xfId="2"/>
    <cellStyle name="Student Information - user entered" xfId="3"/>
    <cellStyle name="Titolo" xfId="1" builtinId="15" customBuiltin="1"/>
    <cellStyle name="Titolo 1" xfId="10" builtinId="16" customBuiltin="1"/>
    <cellStyle name="Titolo 2" xfId="11" builtinId="17" customBuiltin="1"/>
    <cellStyle name="Weekday" xfId="8"/>
    <cellStyle name="Weekend" xfId="9"/>
  </cellStyles>
  <dxfs count="964">
    <dxf>
      <font>
        <color theme="4" tint="0.79998168889431442"/>
      </font>
    </dxf>
    <dxf>
      <fill>
        <patternFill>
          <bgColor theme="8" tint="0.59996337778862885"/>
        </patternFill>
      </fill>
    </dxf>
    <dxf>
      <fill>
        <patternFill>
          <bgColor theme="8" tint="0.79998168889431442"/>
        </patternFill>
      </fill>
    </dxf>
    <dxf>
      <fill>
        <patternFill>
          <bgColor theme="6"/>
        </patternFill>
      </fill>
    </dxf>
    <dxf>
      <fill>
        <patternFill>
          <bgColor theme="5"/>
        </patternFill>
      </fill>
    </dxf>
    <dxf>
      <fill>
        <patternFill>
          <bgColor theme="7"/>
        </patternFill>
      </fill>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u val="none"/>
        <vertAlign val="baseline"/>
        <sz val="10"/>
        <name val="Century Gothic"/>
      </font>
      <numFmt numFmtId="164" formatCode="0;0;"/>
    </dxf>
    <dxf>
      <font>
        <strike/>
        <outline/>
        <shadow/>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fill>
        <patternFill patternType="none">
          <fgColor indexed="64"/>
          <bgColor indexed="65"/>
        </patternFill>
      </fill>
      <alignment horizontal="general" vertical="center" textRotation="0" wrapText="1"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u val="none"/>
        <vertAlign val="baseline"/>
        <sz val="10"/>
        <name val="Century Gothic"/>
      </font>
      <numFmt numFmtId="164" formatCode="0;0;"/>
    </dxf>
    <dxf>
      <font>
        <strike/>
        <outline/>
        <shadow/>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fill>
        <patternFill patternType="none">
          <fgColor indexed="64"/>
          <bgColor indexed="65"/>
        </patternFill>
      </fill>
      <alignment horizontal="general" vertical="center" textRotation="0" wrapText="1"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u val="none"/>
        <vertAlign val="baseline"/>
        <sz val="10"/>
        <name val="Century Gothic"/>
      </font>
      <numFmt numFmtId="164" formatCode="0;0;"/>
    </dxf>
    <dxf>
      <font>
        <strike/>
        <outline/>
        <shadow/>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fill>
        <patternFill patternType="none">
          <fgColor indexed="64"/>
          <bgColor indexed="65"/>
        </patternFill>
      </fill>
      <alignment horizontal="general" vertical="center" textRotation="0" wrapText="1"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u val="none"/>
        <vertAlign val="baseline"/>
        <sz val="10"/>
        <name val="Century Gothic"/>
      </font>
      <numFmt numFmtId="164" formatCode="0;0;"/>
    </dxf>
    <dxf>
      <font>
        <strike/>
        <outline/>
        <shadow/>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fill>
        <patternFill patternType="none">
          <fgColor indexed="64"/>
          <bgColor indexed="65"/>
        </patternFill>
      </fill>
      <alignment horizontal="general" vertical="center" textRotation="0" wrapText="1"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u val="none"/>
        <vertAlign val="baseline"/>
        <sz val="10"/>
        <name val="Century Gothic"/>
      </font>
      <numFmt numFmtId="164" formatCode="0;0;"/>
    </dxf>
    <dxf>
      <font>
        <strike/>
        <outline/>
        <shadow/>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fill>
        <patternFill patternType="none">
          <fgColor indexed="64"/>
          <bgColor indexed="65"/>
        </patternFill>
      </fill>
      <alignment horizontal="general" vertical="center" textRotation="0" wrapText="1"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u val="none"/>
        <vertAlign val="baseline"/>
        <sz val="10"/>
        <name val="Century Gothic"/>
      </font>
      <numFmt numFmtId="164" formatCode="0;0;"/>
    </dxf>
    <dxf>
      <font>
        <strike/>
        <outline/>
        <shadow/>
        <u val="none"/>
        <vertAlign val="baseline"/>
        <name val="Century Gothic"/>
        <scheme val="major"/>
      </font>
    </dxf>
    <dxf>
      <font>
        <color theme="4" tint="0.79998168889431442"/>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color theme="4"/>
      </font>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fill>
        <patternFill patternType="none">
          <fgColor indexed="64"/>
          <bgColor indexed="65"/>
        </patternFill>
      </fill>
      <alignment horizontal="general" vertical="center" textRotation="0" wrapText="1"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u val="none"/>
        <vertAlign val="baseline"/>
        <sz val="10"/>
        <name val="Century Gothic"/>
      </font>
      <numFmt numFmtId="164" formatCode="0;0;"/>
    </dxf>
    <dxf>
      <font>
        <strike/>
        <outline/>
        <shadow/>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4" formatCode="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outline/>
        <shadow/>
        <u val="none"/>
        <vertAlign val="baseline"/>
        <sz val="10"/>
        <color theme="1"/>
        <name val="Century Gothic"/>
        <scheme val="none"/>
      </font>
      <numFmt numFmtId="164" formatCode="0;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4" formatCode="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outline/>
        <shadow/>
        <u val="none"/>
        <vertAlign val="baseline"/>
        <sz val="10"/>
        <color theme="1"/>
        <name val="Century Gothic"/>
        <scheme val="none"/>
      </font>
      <numFmt numFmtId="164" formatCode="0;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4" formatCode="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shadow/>
        <u val="none"/>
        <vertAlign val="baseline"/>
        <sz val="10"/>
        <color theme="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outline/>
        <shadow/>
        <u val="none"/>
        <vertAlign val="baseline"/>
        <sz val="10"/>
        <color theme="1"/>
        <name val="Century Gothic"/>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shadow/>
        <u val="none"/>
        <vertAlign val="baseline"/>
        <sz val="10"/>
        <color theme="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outline/>
        <shadow/>
        <u val="none"/>
        <vertAlign val="baseline"/>
        <sz val="10"/>
        <color theme="1"/>
        <name val="Century Gothic"/>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extend/>
        <outline/>
        <shadow/>
        <u val="none"/>
        <vertAlign val="baseline"/>
        <sz val="10"/>
        <color theme="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u val="none"/>
        <vertAlign val="baseline"/>
        <sz val="10"/>
        <color theme="1"/>
        <name val="Century Gothic"/>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numFmt numFmtId="0" formatCode="General"/>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left" vertical="bottom" textRotation="0" wrapText="0" indent="0" justifyLastLine="0" shrinkToFit="0" readingOrder="0"/>
    </dxf>
    <dxf>
      <numFmt numFmtId="166" formatCode="[&lt;=9999999]###\-####;\(###\)\ ###\-####"/>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71" formatCode="m/d/yyyy"/>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ill>
        <patternFill>
          <bgColor theme="4" tint="0.79998168889431442"/>
        </patternFill>
      </fill>
    </dxf>
    <dxf>
      <fill>
        <patternFill patternType="none">
          <fgColor indexed="64"/>
          <bgColor auto="1"/>
        </patternFill>
      </fill>
    </dxf>
    <dxf>
      <font>
        <b/>
        <i/>
      </font>
      <border>
        <top style="double">
          <color theme="1"/>
        </top>
      </border>
    </dxf>
    <dxf>
      <font>
        <b/>
        <i val="0"/>
        <strike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tableStyleElement type="wholeTable" dxfId="963"/>
      <tableStyleElement type="headerRow" dxfId="962"/>
      <tableStyleElement type="totalRow" dxfId="961"/>
      <tableStyleElement type="firstRowStripe" dxfId="960"/>
      <tableStyleElement type="secondRowStripe" dxfId="959"/>
    </tableStyle>
    <tableStyle name="Student List" pivot="0" count="5">
      <tableStyleElement type="wholeTable" dxfId="958"/>
      <tableStyleElement type="headerRow" dxfId="957"/>
      <tableStyleElement type="totalRow" dxfId="956"/>
      <tableStyleElement type="firstRowStripe" dxfId="955"/>
      <tableStyleElement type="secondRowStripe" dxfId="954"/>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Spin" dx="16" fmlaLink="AnnoCalendario" max="3000" min="2010" page="10" val="201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39</xdr:col>
          <xdr:colOff>38100</xdr:colOff>
          <xdr:row>0</xdr:row>
          <xdr:rowOff>104775</xdr:rowOff>
        </xdr:from>
        <xdr:to>
          <xdr:col>39</xdr:col>
          <xdr:colOff>209550</xdr:colOff>
          <xdr:row>0</xdr:row>
          <xdr:rowOff>419100</xdr:rowOff>
        </xdr:to>
        <xdr:sp macro="" textlink="">
          <xdr:nvSpPr>
            <xdr:cNvPr id="2049" name="Casella di selezione 1" descr="Calendar Year Spinner. Click the spinner to change the school calendar year or type the year in cell AM."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udent%20Li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List"/>
    </sheetNames>
    <sheetDataSet>
      <sheetData sheetId="0" refreshError="1"/>
    </sheetDataSet>
  </externalBook>
</externalLink>
</file>

<file path=xl/tables/table1.xml><?xml version="1.0" encoding="utf-8"?>
<table xmlns="http://schemas.openxmlformats.org/spreadsheetml/2006/main" id="1" name="ElencoStudenti" displayName="ElencoStudenti" ref="B3:S8" totalsRowShown="0" headerRowDxfId="953">
  <autoFilter ref="B3:S8"/>
  <tableColumns count="18">
    <tableColumn id="1" name="ID studente" dataDxfId="952"/>
    <tableColumn id="2" name="Nome studente"/>
    <tableColumn id="3" name="Cognome studente" dataDxfId="951"/>
    <tableColumn id="5" name="Sesso" dataDxfId="950"/>
    <tableColumn id="6" name="Data di nascita" dataDxfId="949"/>
    <tableColumn id="7" name="Genitore o tutore 1" dataDxfId="948"/>
    <tableColumn id="10" name="Relazione genitore/tutore 1" dataDxfId="947"/>
    <tableColumn id="9" name="Telefono ufficio genitore/tutore 1" dataDxfId="946"/>
    <tableColumn id="8" name="Telefono abitazione genitore/tutore 1" dataDxfId="945"/>
    <tableColumn id="18" name="Genitore/tutore 2" dataDxfId="944"/>
    <tableColumn id="15" name="Relazione genitore/tutore 2" dataDxfId="943"/>
    <tableColumn id="16" name="Telefono ufficio genitore/tutore 2" dataDxfId="942"/>
    <tableColumn id="17" name="Telefono abitazione genitore/tutore 2" dataDxfId="941"/>
    <tableColumn id="13" name="Contatto emergenze" dataDxfId="940"/>
    <tableColumn id="12" name="Relazione contatto emergenze" dataDxfId="939"/>
    <tableColumn id="11" name="Telefono ufficio contatto emergenze" dataDxfId="938"/>
    <tableColumn id="14" name="Telefono abitazione contatto emergenze" dataDxfId="937"/>
    <tableColumn id="4" name="Nome e cognome studente" dataDxfId="936">
      <calculatedColumnFormula>ElencoStudenti[[#This Row],[Nome studente]]&amp;" " &amp;ElencoStudenti[[#This Row],[Cognome studente]]</calculatedColumnFormula>
    </tableColumn>
  </tableColumns>
  <tableStyleInfo name="Student List" showFirstColumn="0" showLastColumn="0" showRowStripes="1" showColumnStripes="0"/>
  <extLst>
    <ext xmlns:x14="http://schemas.microsoft.com/office/spreadsheetml/2009/9/main" uri="{504A1905-F514-4f6f-8877-14C23A59335A}">
      <x14:table altText="Elenco studenti" altTextSummary="Include nome, informazioni di contatto dei tutori e informazioni sul contatto per le emergenze per ogni studente."/>
    </ext>
  </extLst>
</table>
</file>

<file path=xl/tables/table10.xml><?xml version="1.0" encoding="utf-8"?>
<table xmlns="http://schemas.openxmlformats.org/spreadsheetml/2006/main" id="9" name="FrequenzaAprile" displayName="FrequenzaAprile" ref="B6:AM12" totalsRowCount="1" headerRowDxfId="332" totalsRowDxfId="331">
  <tableColumns count="38">
    <tableColumn id="38" name="ID studente" dataDxfId="330" totalsRowDxfId="329"/>
    <tableColumn id="1" name="Nome studente" totalsRowLabel="Totale giorni di assenza" dataDxfId="328" totalsRowDxfId="327">
      <calculatedColumnFormula>IFERROR(VLOOKUP(FrequenzaAprile[[#This Row],[ID studente]],ElencoStudenti[],18,FALSE),"")</calculatedColumnFormula>
    </tableColumn>
    <tableColumn id="2" name="1" totalsRowFunction="custom" dataDxfId="326" totalsRowDxfId="325">
      <totalsRowFormula>COUNTIF(FrequenzaAprile[1],"N")+COUNTIF(FrequenzaAprile[1],"G")</totalsRowFormula>
    </tableColumn>
    <tableColumn id="3" name="2" totalsRowFunction="custom" dataDxfId="324" totalsRowDxfId="323">
      <totalsRowFormula>COUNTIF(FrequenzaAprile[2],"N")+COUNTIF(FrequenzaAprile[2],"G")</totalsRowFormula>
    </tableColumn>
    <tableColumn id="4" name="3" totalsRowFunction="custom" dataDxfId="322" totalsRowDxfId="321">
      <totalsRowFormula>COUNTIF(FrequenzaAprile[3],"N")+COUNTIF(FrequenzaAprile[3],"G")</totalsRowFormula>
    </tableColumn>
    <tableColumn id="5" name="4" totalsRowFunction="custom" dataDxfId="320" totalsRowDxfId="319">
      <totalsRowFormula>COUNTIF(FrequenzaAprile[4],"N")+COUNTIF(FrequenzaAprile[4],"G")</totalsRowFormula>
    </tableColumn>
    <tableColumn id="6" name="5" totalsRowFunction="custom" dataDxfId="318" totalsRowDxfId="317">
      <totalsRowFormula>COUNTIF(FrequenzaAprile[5],"N")+COUNTIF(FrequenzaAprile[5],"G")</totalsRowFormula>
    </tableColumn>
    <tableColumn id="7" name="6" totalsRowFunction="custom" dataDxfId="316" totalsRowDxfId="315">
      <totalsRowFormula>COUNTIF(FrequenzaAprile[6],"N")+COUNTIF(FrequenzaAprile[6],"G")</totalsRowFormula>
    </tableColumn>
    <tableColumn id="8" name="7" totalsRowFunction="custom" dataDxfId="314" totalsRowDxfId="313">
      <totalsRowFormula>COUNTIF(FrequenzaAprile[7],"N")+COUNTIF(FrequenzaAprile[7],"G")</totalsRowFormula>
    </tableColumn>
    <tableColumn id="9" name="8" totalsRowFunction="custom" dataDxfId="312" totalsRowDxfId="311">
      <totalsRowFormula>COUNTIF(FrequenzaAprile[8],"N")+COUNTIF(FrequenzaAprile[8],"G")</totalsRowFormula>
    </tableColumn>
    <tableColumn id="10" name="9" totalsRowFunction="custom" dataDxfId="310" totalsRowDxfId="309">
      <totalsRowFormula>COUNTIF(FrequenzaAprile[9],"N")+COUNTIF(FrequenzaAprile[9],"G")</totalsRowFormula>
    </tableColumn>
    <tableColumn id="11" name="10" totalsRowFunction="custom" dataDxfId="308" totalsRowDxfId="307">
      <totalsRowFormula>COUNTIF(FrequenzaAprile[10],"N")+COUNTIF(FrequenzaAprile[10],"G")</totalsRowFormula>
    </tableColumn>
    <tableColumn id="12" name="11" totalsRowFunction="custom" dataDxfId="306" totalsRowDxfId="305">
      <totalsRowFormula>COUNTIF(FrequenzaAprile[11],"N")+COUNTIF(FrequenzaAprile[11],"G")</totalsRowFormula>
    </tableColumn>
    <tableColumn id="13" name="12" totalsRowFunction="custom" dataDxfId="304" totalsRowDxfId="303">
      <totalsRowFormula>COUNTIF(FrequenzaAprile[12],"N")+COUNTIF(FrequenzaAprile[12],"G")</totalsRowFormula>
    </tableColumn>
    <tableColumn id="14" name="13" totalsRowFunction="custom" dataDxfId="302" totalsRowDxfId="301">
      <totalsRowFormula>COUNTIF(FrequenzaAprile[13],"N")+COUNTIF(FrequenzaAprile[13],"G")</totalsRowFormula>
    </tableColumn>
    <tableColumn id="15" name="14" totalsRowFunction="custom" dataDxfId="300" totalsRowDxfId="299">
      <totalsRowFormula>COUNTIF(FrequenzaAprile[14],"N")+COUNTIF(FrequenzaAprile[14],"G")</totalsRowFormula>
    </tableColumn>
    <tableColumn id="16" name="15" totalsRowFunction="custom" dataDxfId="298" totalsRowDxfId="297">
      <totalsRowFormula>COUNTIF(FrequenzaAprile[15],"N")+COUNTIF(FrequenzaAprile[15],"G")</totalsRowFormula>
    </tableColumn>
    <tableColumn id="17" name="16" totalsRowFunction="custom" dataDxfId="296" totalsRowDxfId="295">
      <totalsRowFormula>COUNTIF(FrequenzaAprile[16],"N")+COUNTIF(FrequenzaAprile[16],"G")</totalsRowFormula>
    </tableColumn>
    <tableColumn id="18" name="17" totalsRowFunction="custom" dataDxfId="294" totalsRowDxfId="293">
      <totalsRowFormula>COUNTIF(FrequenzaAprile[17],"N")+COUNTIF(FrequenzaAprile[17],"G")</totalsRowFormula>
    </tableColumn>
    <tableColumn id="19" name="18" totalsRowFunction="custom" dataDxfId="292" totalsRowDxfId="291">
      <totalsRowFormula>COUNTIF(FrequenzaAprile[18],"N")+COUNTIF(FrequenzaAprile[18],"G")</totalsRowFormula>
    </tableColumn>
    <tableColumn id="20" name="19" totalsRowFunction="custom" dataDxfId="290" totalsRowDxfId="289">
      <totalsRowFormula>COUNTIF(FrequenzaAprile[19],"N")+COUNTIF(FrequenzaAprile[19],"G")</totalsRowFormula>
    </tableColumn>
    <tableColumn id="21" name="20" totalsRowFunction="custom" dataDxfId="288" totalsRowDxfId="287">
      <totalsRowFormula>COUNTIF(FrequenzaAprile[20],"N")+COUNTIF(FrequenzaAprile[20],"G")</totalsRowFormula>
    </tableColumn>
    <tableColumn id="22" name="21" totalsRowFunction="custom" dataDxfId="286" totalsRowDxfId="285">
      <totalsRowFormula>COUNTIF(FrequenzaAprile[21],"N")+COUNTIF(FrequenzaAprile[21],"G")</totalsRowFormula>
    </tableColumn>
    <tableColumn id="23" name="22" totalsRowFunction="custom" dataDxfId="284" totalsRowDxfId="283">
      <totalsRowFormula>COUNTIF(FrequenzaAprile[22],"N")+COUNTIF(FrequenzaAprile[22],"G")</totalsRowFormula>
    </tableColumn>
    <tableColumn id="24" name="23" totalsRowFunction="custom" dataDxfId="282" totalsRowDxfId="281">
      <totalsRowFormula>COUNTIF(FrequenzaAprile[23],"N")+COUNTIF(FrequenzaAprile[23],"G")</totalsRowFormula>
    </tableColumn>
    <tableColumn id="25" name="24" totalsRowFunction="custom" dataDxfId="280" totalsRowDxfId="279">
      <totalsRowFormula>COUNTIF(FrequenzaAprile[24],"N")+COUNTIF(FrequenzaAprile[24],"G")</totalsRowFormula>
    </tableColumn>
    <tableColumn id="26" name="25" totalsRowFunction="custom" dataDxfId="278" totalsRowDxfId="277">
      <totalsRowFormula>COUNTIF(FrequenzaAprile[25],"N")+COUNTIF(FrequenzaAprile[25],"G")</totalsRowFormula>
    </tableColumn>
    <tableColumn id="27" name="26" totalsRowFunction="custom" dataDxfId="276" totalsRowDxfId="275">
      <totalsRowFormula>COUNTIF(FrequenzaAprile[26],"N")+COUNTIF(FrequenzaAprile[26],"G")</totalsRowFormula>
    </tableColumn>
    <tableColumn id="28" name="27" totalsRowFunction="custom" dataDxfId="274" totalsRowDxfId="273">
      <totalsRowFormula>COUNTIF(FrequenzaAprile[27],"N")+COUNTIF(FrequenzaAprile[27],"G")</totalsRowFormula>
    </tableColumn>
    <tableColumn id="29" name="28" totalsRowFunction="custom" dataDxfId="272" totalsRowDxfId="271">
      <totalsRowFormula>COUNTIF(FrequenzaAprile[28],"N")+COUNTIF(FrequenzaAprile[28],"G")</totalsRowFormula>
    </tableColumn>
    <tableColumn id="30" name="29" totalsRowFunction="custom" dataDxfId="270" totalsRowDxfId="269">
      <totalsRowFormula>COUNTIF(FrequenzaAprile[29],"N")+COUNTIF(FrequenzaAprile[29],"G")</totalsRowFormula>
    </tableColumn>
    <tableColumn id="31" name="30" totalsRowFunction="custom" dataDxfId="268" totalsRowDxfId="267">
      <totalsRowFormula>COUNTIF(FrequenzaAprile[30],"N")+COUNTIF(FrequenzaAprile[30],"G")</totalsRowFormula>
    </tableColumn>
    <tableColumn id="32" name=" " dataDxfId="266" totalsRowDxfId="265"/>
    <tableColumn id="35" name="I" totalsRowFunction="sum" dataDxfId="264" totalsRowDxfId="263"/>
    <tableColumn id="34" name="N" totalsRowFunction="sum" dataDxfId="262" totalsRowDxfId="261"/>
    <tableColumn id="37" name="G" totalsRowFunction="sum" dataDxfId="260" totalsRowDxfId="259"/>
    <tableColumn id="36" name="P" totalsRowFunction="sum" dataDxfId="258" totalsRowDxfId="257"/>
    <tableColumn id="33" name="Giorni di assenza" totalsRowFunction="sum" dataDxfId="256" totalsRowDxfId="255"/>
  </tableColumns>
  <tableStyleInfo name="Employee Absence Table" showFirstColumn="0" showLastColumn="0" showRowStripes="1" showColumnStripes="1"/>
  <extLst>
    <ext xmlns:x14="http://schemas.microsoft.com/office/spreadsheetml/2009/9/main" uri="{504A1905-F514-4f6f-8877-14C23A59335A}">
      <x14:table altText="Record di frequenza febbraio" altTextSummary="Tiene traccia della frequenza degli studenti, con valori quali R=In ritardo, G=Giustificato, N=Non giustificato, P=Presente, S=Scuola chiusa, per il mese di aprile."/>
    </ext>
  </extLst>
</table>
</file>

<file path=xl/tables/table11.xml><?xml version="1.0" encoding="utf-8"?>
<table xmlns="http://schemas.openxmlformats.org/spreadsheetml/2006/main" id="11" name="FrequenzaMaggio" displayName="FrequenzaMaggio" ref="B6:AM12" totalsRowCount="1" headerRowDxfId="249" totalsRowDxfId="248">
  <tableColumns count="38">
    <tableColumn id="38" name="ID studente" dataDxfId="247" totalsRowDxfId="246"/>
    <tableColumn id="1" name="Nome studente" totalsRowLabel="Totale giorni di assenza" dataDxfId="245" totalsRowDxfId="244">
      <calculatedColumnFormula>IFERROR(VLOOKUP(FrequenzaMaggio[[#This Row],[ID studente]],ElencoStudenti[],18,FALSE),"")</calculatedColumnFormula>
    </tableColumn>
    <tableColumn id="2" name="1" totalsRowFunction="custom" dataDxfId="243" totalsRowDxfId="242">
      <totalsRowFormula>COUNTIF(FrequenzaMaggio[1],"N")+COUNTIF(FrequenzaMaggio[1],"G")</totalsRowFormula>
    </tableColumn>
    <tableColumn id="3" name="2" totalsRowFunction="custom" dataDxfId="241" totalsRowDxfId="240">
      <totalsRowFormula>COUNTIF(FrequenzaMaggio[2],"N")+COUNTIF(FrequenzaMaggio[2],"G")</totalsRowFormula>
    </tableColumn>
    <tableColumn id="4" name="3" totalsRowFunction="custom" dataDxfId="239" totalsRowDxfId="238">
      <totalsRowFormula>COUNTIF(FrequenzaMaggio[3],"N")+COUNTIF(FrequenzaMaggio[3],"G")</totalsRowFormula>
    </tableColumn>
    <tableColumn id="5" name="4" totalsRowFunction="custom" dataDxfId="237" totalsRowDxfId="236">
      <totalsRowFormula>COUNTIF(FrequenzaMaggio[4],"N")+COUNTIF(FrequenzaMaggio[4],"G")</totalsRowFormula>
    </tableColumn>
    <tableColumn id="6" name="5" totalsRowFunction="custom" dataDxfId="235" totalsRowDxfId="234">
      <totalsRowFormula>COUNTIF(FrequenzaMaggio[5],"N")+COUNTIF(FrequenzaMaggio[5],"G")</totalsRowFormula>
    </tableColumn>
    <tableColumn id="7" name="6" totalsRowFunction="custom" dataDxfId="233" totalsRowDxfId="232">
      <totalsRowFormula>COUNTIF(FrequenzaMaggio[6],"N")+COUNTIF(FrequenzaMaggio[6],"G")</totalsRowFormula>
    </tableColumn>
    <tableColumn id="8" name="7" totalsRowFunction="custom" dataDxfId="231" totalsRowDxfId="230">
      <totalsRowFormula>COUNTIF(FrequenzaMaggio[7],"N")+COUNTIF(FrequenzaMaggio[7],"G")</totalsRowFormula>
    </tableColumn>
    <tableColumn id="9" name="8" totalsRowFunction="custom" dataDxfId="229" totalsRowDxfId="228">
      <totalsRowFormula>COUNTIF(FrequenzaMaggio[8],"N")+COUNTIF(FrequenzaMaggio[8],"G")</totalsRowFormula>
    </tableColumn>
    <tableColumn id="10" name="9" totalsRowFunction="custom" dataDxfId="227" totalsRowDxfId="226">
      <totalsRowFormula>COUNTIF(FrequenzaMaggio[9],"N")+COUNTIF(FrequenzaMaggio[9],"G")</totalsRowFormula>
    </tableColumn>
    <tableColumn id="11" name="10" totalsRowFunction="custom" dataDxfId="225" totalsRowDxfId="224">
      <totalsRowFormula>COUNTIF(FrequenzaMaggio[10],"N")+COUNTIF(FrequenzaMaggio[10],"G")</totalsRowFormula>
    </tableColumn>
    <tableColumn id="12" name="11" totalsRowFunction="custom" dataDxfId="223" totalsRowDxfId="222">
      <totalsRowFormula>COUNTIF(FrequenzaMaggio[11],"N")+COUNTIF(FrequenzaMaggio[11],"G")</totalsRowFormula>
    </tableColumn>
    <tableColumn id="13" name="12" totalsRowFunction="custom" dataDxfId="221" totalsRowDxfId="220">
      <totalsRowFormula>COUNTIF(FrequenzaMaggio[12],"N")+COUNTIF(FrequenzaMaggio[12],"G")</totalsRowFormula>
    </tableColumn>
    <tableColumn id="14" name="13" totalsRowFunction="custom" dataDxfId="219" totalsRowDxfId="218">
      <totalsRowFormula>COUNTIF(FrequenzaMaggio[13],"N")+COUNTIF(FrequenzaMaggio[13],"G")</totalsRowFormula>
    </tableColumn>
    <tableColumn id="15" name="14" totalsRowFunction="custom" dataDxfId="217" totalsRowDxfId="216">
      <totalsRowFormula>COUNTIF(FrequenzaMaggio[14],"N")+COUNTIF(FrequenzaMaggio[14],"G")</totalsRowFormula>
    </tableColumn>
    <tableColumn id="16" name="15" totalsRowFunction="custom" dataDxfId="215" totalsRowDxfId="214">
      <totalsRowFormula>COUNTIF(FrequenzaMaggio[15],"N")+COUNTIF(FrequenzaMaggio[15],"G")</totalsRowFormula>
    </tableColumn>
    <tableColumn id="17" name="16" totalsRowFunction="custom" dataDxfId="213" totalsRowDxfId="212">
      <totalsRowFormula>COUNTIF(FrequenzaMaggio[16],"N")+COUNTIF(FrequenzaMaggio[16],"G")</totalsRowFormula>
    </tableColumn>
    <tableColumn id="18" name="17" totalsRowFunction="custom" dataDxfId="211" totalsRowDxfId="210">
      <totalsRowFormula>COUNTIF(FrequenzaMaggio[17],"N")+COUNTIF(FrequenzaMaggio[17],"G")</totalsRowFormula>
    </tableColumn>
    <tableColumn id="19" name="18" totalsRowFunction="custom" dataDxfId="209" totalsRowDxfId="208">
      <totalsRowFormula>COUNTIF(FrequenzaMaggio[18],"N")+COUNTIF(FrequenzaMaggio[18],"G")</totalsRowFormula>
    </tableColumn>
    <tableColumn id="20" name="19" totalsRowFunction="custom" dataDxfId="207" totalsRowDxfId="206">
      <totalsRowFormula>COUNTIF(FrequenzaMaggio[19],"N")+COUNTIF(FrequenzaMaggio[19],"G")</totalsRowFormula>
    </tableColumn>
    <tableColumn id="21" name="20" totalsRowFunction="custom" dataDxfId="205" totalsRowDxfId="204">
      <totalsRowFormula>COUNTIF(FrequenzaMaggio[20],"N")+COUNTIF(FrequenzaMaggio[20],"G")</totalsRowFormula>
    </tableColumn>
    <tableColumn id="22" name="21" totalsRowFunction="custom" dataDxfId="203" totalsRowDxfId="202">
      <totalsRowFormula>COUNTIF(FrequenzaMaggio[21],"N")+COUNTIF(FrequenzaMaggio[21],"G")</totalsRowFormula>
    </tableColumn>
    <tableColumn id="23" name="22" totalsRowFunction="custom" dataDxfId="201" totalsRowDxfId="200">
      <totalsRowFormula>COUNTIF(FrequenzaMaggio[22],"N")+COUNTIF(FrequenzaMaggio[22],"G")</totalsRowFormula>
    </tableColumn>
    <tableColumn id="24" name="23" totalsRowFunction="custom" dataDxfId="199" totalsRowDxfId="198">
      <totalsRowFormula>COUNTIF(FrequenzaMaggio[23],"N")+COUNTIF(FrequenzaMaggio[23],"G")</totalsRowFormula>
    </tableColumn>
    <tableColumn id="25" name="24" totalsRowFunction="custom" dataDxfId="197" totalsRowDxfId="196">
      <totalsRowFormula>COUNTIF(FrequenzaMaggio[24],"N")+COUNTIF(FrequenzaMaggio[24],"G")</totalsRowFormula>
    </tableColumn>
    <tableColumn id="26" name="25" totalsRowFunction="custom" dataDxfId="195" totalsRowDxfId="194">
      <totalsRowFormula>COUNTIF(FrequenzaMaggio[25],"N")+COUNTIF(FrequenzaMaggio[25],"G")</totalsRowFormula>
    </tableColumn>
    <tableColumn id="27" name="26" totalsRowFunction="custom" dataDxfId="193" totalsRowDxfId="192">
      <totalsRowFormula>COUNTIF(FrequenzaMaggio[26],"N")+COUNTIF(FrequenzaMaggio[26],"G")</totalsRowFormula>
    </tableColumn>
    <tableColumn id="28" name="27" totalsRowFunction="custom" dataDxfId="191" totalsRowDxfId="190">
      <totalsRowFormula>COUNTIF(FrequenzaMaggio[27],"N")+COUNTIF(FrequenzaMaggio[27],"G")</totalsRowFormula>
    </tableColumn>
    <tableColumn id="29" name="28" totalsRowFunction="custom" dataDxfId="189" totalsRowDxfId="188">
      <totalsRowFormula>COUNTIF(FrequenzaMaggio[28],"N")+COUNTIF(FrequenzaMaggio[28],"G")</totalsRowFormula>
    </tableColumn>
    <tableColumn id="30" name="29" totalsRowFunction="custom" dataDxfId="187" totalsRowDxfId="186">
      <totalsRowFormula>COUNTIF(FrequenzaMaggio[29],"N")+COUNTIF(FrequenzaMaggio[29],"G")</totalsRowFormula>
    </tableColumn>
    <tableColumn id="31" name="30" totalsRowFunction="custom" dataDxfId="185" totalsRowDxfId="184">
      <totalsRowFormula>COUNTIF(FrequenzaMaggio[30],"N")+COUNTIF(FrequenzaMaggio[30],"G")</totalsRowFormula>
    </tableColumn>
    <tableColumn id="32" name="31" totalsRowFunction="custom" dataDxfId="183" totalsRowDxfId="182">
      <totalsRowFormula>COUNTIF(FrequenzaMaggio[31],"N")+COUNTIF(FrequenzaMaggio[31],"G")</totalsRowFormula>
    </tableColumn>
    <tableColumn id="35" name="I" totalsRowFunction="sum" dataDxfId="181" totalsRowDxfId="180"/>
    <tableColumn id="34" name="N" totalsRowFunction="sum" dataDxfId="179" totalsRowDxfId="178"/>
    <tableColumn id="37" name="G" totalsRowFunction="sum" dataDxfId="177" totalsRowDxfId="176"/>
    <tableColumn id="36" name="P" totalsRowFunction="sum" dataDxfId="175" totalsRowDxfId="174"/>
    <tableColumn id="33" name="Giorni di assenza" totalsRowFunction="sum" dataDxfId="173" totalsRowDxfId="172"/>
  </tableColumns>
  <tableStyleInfo name="Employee Absence Table" showFirstColumn="0" showLastColumn="0" showRowStripes="1" showColumnStripes="1"/>
  <extLst>
    <ext xmlns:x14="http://schemas.microsoft.com/office/spreadsheetml/2009/9/main" uri="{504A1905-F514-4f6f-8877-14C23A59335A}">
      <x14:table altText="Record di frequenza febbraio" altTextSummary="Tiene traccia della frequenza degli studenti, con valori quali R=In ritardo, G=Giustificato, N=Non giustificato, P=Presente, S=Scuola chiusa, per il mese di maggio."/>
    </ext>
  </extLst>
</table>
</file>

<file path=xl/tables/table12.xml><?xml version="1.0" encoding="utf-8"?>
<table xmlns="http://schemas.openxmlformats.org/spreadsheetml/2006/main" id="12" name="FrequenzaGiugno" displayName="FrequenzaGiugno" ref="B6:AM12" totalsRowCount="1" headerRowDxfId="166" totalsRowDxfId="165">
  <tableColumns count="38">
    <tableColumn id="38" name="ID studente" dataDxfId="164" totalsRowDxfId="163"/>
    <tableColumn id="1" name="Nome studente" totalsRowLabel="Totale giorni di assenza" dataDxfId="162" totalsRowDxfId="161">
      <calculatedColumnFormula>IFERROR(VLOOKUP(FrequenzaGiugno[[#This Row],[ID studente]],ElencoStudenti[],18,FALSE),"")</calculatedColumnFormula>
    </tableColumn>
    <tableColumn id="2" name="1" totalsRowFunction="custom" dataDxfId="160" totalsRowDxfId="159">
      <totalsRowFormula>COUNTIF(FrequenzaGiugno[1],"N")+COUNTIF(FrequenzaGiugno[1],"G")</totalsRowFormula>
    </tableColumn>
    <tableColumn id="3" name="2" totalsRowFunction="custom" dataDxfId="158" totalsRowDxfId="157">
      <totalsRowFormula>COUNTIF(FrequenzaGiugno[2],"N")+COUNTIF(FrequenzaGiugno[2],"G")</totalsRowFormula>
    </tableColumn>
    <tableColumn id="4" name="3" totalsRowFunction="custom" dataDxfId="156" totalsRowDxfId="155">
      <totalsRowFormula>COUNTIF(FrequenzaGiugno[3],"N")+COUNTIF(FrequenzaGiugno[3],"G")</totalsRowFormula>
    </tableColumn>
    <tableColumn id="5" name="4" totalsRowFunction="custom" dataDxfId="154" totalsRowDxfId="153">
      <totalsRowFormula>COUNTIF(FrequenzaGiugno[4],"N")+COUNTIF(FrequenzaGiugno[4],"G")</totalsRowFormula>
    </tableColumn>
    <tableColumn id="6" name="5" totalsRowFunction="custom" dataDxfId="152" totalsRowDxfId="151">
      <totalsRowFormula>COUNTIF(FrequenzaGiugno[5],"N")+COUNTIF(FrequenzaGiugno[5],"G")</totalsRowFormula>
    </tableColumn>
    <tableColumn id="7" name="6" totalsRowFunction="custom" dataDxfId="150" totalsRowDxfId="149">
      <totalsRowFormula>COUNTIF(FrequenzaGiugno[6],"N")+COUNTIF(FrequenzaGiugno[6],"G")</totalsRowFormula>
    </tableColumn>
    <tableColumn id="8" name="7" totalsRowFunction="custom" dataDxfId="148" totalsRowDxfId="147">
      <totalsRowFormula>COUNTIF(FrequenzaGiugno[7],"N")+COUNTIF(FrequenzaGiugno[7],"G")</totalsRowFormula>
    </tableColumn>
    <tableColumn id="9" name="8" totalsRowFunction="custom" dataDxfId="146" totalsRowDxfId="145">
      <totalsRowFormula>COUNTIF(FrequenzaGiugno[8],"N")+COUNTIF(FrequenzaGiugno[8],"G")</totalsRowFormula>
    </tableColumn>
    <tableColumn id="10" name="9" totalsRowFunction="custom" dataDxfId="144" totalsRowDxfId="143">
      <totalsRowFormula>COUNTIF(FrequenzaGiugno[9],"N")+COUNTIF(FrequenzaGiugno[9],"G")</totalsRowFormula>
    </tableColumn>
    <tableColumn id="11" name="10" totalsRowFunction="custom" dataDxfId="142" totalsRowDxfId="141">
      <totalsRowFormula>COUNTIF(FrequenzaGiugno[10],"N")+COUNTIF(FrequenzaGiugno[10],"G")</totalsRowFormula>
    </tableColumn>
    <tableColumn id="12" name="11" totalsRowFunction="custom" dataDxfId="140" totalsRowDxfId="139">
      <totalsRowFormula>COUNTIF(FrequenzaGiugno[11],"N")+COUNTIF(FrequenzaGiugno[11],"G")</totalsRowFormula>
    </tableColumn>
    <tableColumn id="13" name="12" totalsRowFunction="custom" dataDxfId="138" totalsRowDxfId="137">
      <totalsRowFormula>COUNTIF(FrequenzaGiugno[12],"N")+COUNTIF(FrequenzaGiugno[12],"G")</totalsRowFormula>
    </tableColumn>
    <tableColumn id="14" name="13" totalsRowFunction="custom" dataDxfId="136" totalsRowDxfId="135">
      <totalsRowFormula>COUNTIF(FrequenzaGiugno[13],"N")+COUNTIF(FrequenzaGiugno[13],"G")</totalsRowFormula>
    </tableColumn>
    <tableColumn id="15" name="14" totalsRowFunction="custom" dataDxfId="134" totalsRowDxfId="133">
      <totalsRowFormula>COUNTIF(FrequenzaGiugno[14],"N")+COUNTIF(FrequenzaGiugno[14],"G")</totalsRowFormula>
    </tableColumn>
    <tableColumn id="16" name="15" totalsRowFunction="custom" dataDxfId="132" totalsRowDxfId="131">
      <totalsRowFormula>COUNTIF(FrequenzaGiugno[15],"N")+COUNTIF(FrequenzaGiugno[15],"G")</totalsRowFormula>
    </tableColumn>
    <tableColumn id="17" name="16" totalsRowFunction="custom" dataDxfId="130" totalsRowDxfId="129">
      <totalsRowFormula>COUNTIF(FrequenzaGiugno[16],"N")+COUNTIF(FrequenzaGiugno[16],"G")</totalsRowFormula>
    </tableColumn>
    <tableColumn id="18" name="17" totalsRowFunction="custom" dataDxfId="128" totalsRowDxfId="127">
      <totalsRowFormula>COUNTIF(FrequenzaGiugno[17],"N")+COUNTIF(FrequenzaGiugno[17],"G")</totalsRowFormula>
    </tableColumn>
    <tableColumn id="19" name="18" totalsRowFunction="custom" dataDxfId="126" totalsRowDxfId="125">
      <totalsRowFormula>COUNTIF(FrequenzaGiugno[18],"N")+COUNTIF(FrequenzaGiugno[18],"G")</totalsRowFormula>
    </tableColumn>
    <tableColumn id="20" name="19" totalsRowFunction="custom" dataDxfId="124" totalsRowDxfId="123">
      <totalsRowFormula>COUNTIF(FrequenzaGiugno[19],"N")+COUNTIF(FrequenzaGiugno[19],"G")</totalsRowFormula>
    </tableColumn>
    <tableColumn id="21" name="20" totalsRowFunction="custom" dataDxfId="122" totalsRowDxfId="121">
      <totalsRowFormula>COUNTIF(FrequenzaGiugno[20],"N")+COUNTIF(FrequenzaGiugno[20],"G")</totalsRowFormula>
    </tableColumn>
    <tableColumn id="22" name="21" totalsRowFunction="custom" dataDxfId="120" totalsRowDxfId="119">
      <totalsRowFormula>COUNTIF(FrequenzaGiugno[21],"N")+COUNTIF(FrequenzaGiugno[21],"G")</totalsRowFormula>
    </tableColumn>
    <tableColumn id="23" name="22" totalsRowFunction="custom" dataDxfId="118" totalsRowDxfId="117">
      <totalsRowFormula>COUNTIF(FrequenzaGiugno[22],"N")+COUNTIF(FrequenzaGiugno[22],"G")</totalsRowFormula>
    </tableColumn>
    <tableColumn id="24" name="23" totalsRowFunction="custom" dataDxfId="116" totalsRowDxfId="115">
      <totalsRowFormula>COUNTIF(FrequenzaGiugno[23],"N")+COUNTIF(FrequenzaGiugno[23],"G")</totalsRowFormula>
    </tableColumn>
    <tableColumn id="25" name="24" totalsRowFunction="custom" dataDxfId="114" totalsRowDxfId="113">
      <totalsRowFormula>COUNTIF(FrequenzaGiugno[24],"N")+COUNTIF(FrequenzaGiugno[24],"G")</totalsRowFormula>
    </tableColumn>
    <tableColumn id="26" name="25" totalsRowFunction="custom" dataDxfId="112" totalsRowDxfId="111">
      <totalsRowFormula>COUNTIF(FrequenzaGiugno[25],"N")+COUNTIF(FrequenzaGiugno[25],"G")</totalsRowFormula>
    </tableColumn>
    <tableColumn id="27" name="26" totalsRowFunction="custom" dataDxfId="110" totalsRowDxfId="109">
      <totalsRowFormula>COUNTIF(FrequenzaGiugno[26],"N")+COUNTIF(FrequenzaGiugno[26],"G")</totalsRowFormula>
    </tableColumn>
    <tableColumn id="28" name="27" totalsRowFunction="custom" dataDxfId="108" totalsRowDxfId="107">
      <totalsRowFormula>COUNTIF(FrequenzaGiugno[27],"N")+COUNTIF(FrequenzaGiugno[27],"G")</totalsRowFormula>
    </tableColumn>
    <tableColumn id="29" name="28" totalsRowFunction="custom" dataDxfId="106" totalsRowDxfId="105">
      <totalsRowFormula>COUNTIF(FrequenzaGiugno[28],"N")+COUNTIF(FrequenzaGiugno[28],"G")</totalsRowFormula>
    </tableColumn>
    <tableColumn id="30" name="29" totalsRowFunction="custom" dataDxfId="104" totalsRowDxfId="103">
      <totalsRowFormula>COUNTIF(FrequenzaGiugno[29],"N")+COUNTIF(FrequenzaGiugno[29],"G")</totalsRowFormula>
    </tableColumn>
    <tableColumn id="31" name="30" totalsRowFunction="custom" dataDxfId="102" totalsRowDxfId="101">
      <totalsRowFormula>COUNTIF(FrequenzaGiugno[30],"N")+COUNTIF(FrequenzaGiugno[30],"G")</totalsRowFormula>
    </tableColumn>
    <tableColumn id="32" name=" " dataDxfId="100" totalsRowDxfId="99"/>
    <tableColumn id="35" name="I" totalsRowFunction="sum" dataDxfId="98" totalsRowDxfId="97"/>
    <tableColumn id="34" name="N" totalsRowFunction="min" dataDxfId="96" totalsRowDxfId="95"/>
    <tableColumn id="37" name="G" totalsRowFunction="sum" dataDxfId="94" totalsRowDxfId="93"/>
    <tableColumn id="36" name="P" totalsRowFunction="sum" dataDxfId="92" totalsRowDxfId="91"/>
    <tableColumn id="33" name="Giorni di assenza" totalsRowFunction="sum" dataDxfId="90" totalsRowDxfId="89"/>
  </tableColumns>
  <tableStyleInfo name="Employee Absence Table" showFirstColumn="0" showLastColumn="0" showRowStripes="1" showColumnStripes="1"/>
  <extLst>
    <ext xmlns:x14="http://schemas.microsoft.com/office/spreadsheetml/2009/9/main" uri="{504A1905-F514-4f6f-8877-14C23A59335A}">
      <x14:table altText="Record di frequenza febbraio" altTextSummary="Tiene traccia della frequenza degli studenti, con valori quali R=In ritardo, G=Giustificato, N=Non giustificato, P=Presente, S=Scuola chiusa, per il mese di giugno."/>
    </ext>
  </extLst>
</table>
</file>

<file path=xl/tables/table13.xml><?xml version="1.0" encoding="utf-8"?>
<table xmlns="http://schemas.openxmlformats.org/spreadsheetml/2006/main" id="13" name="FrequenzaLuglio" displayName="FrequenzaLuglio" ref="B6:AM12" totalsRowCount="1" headerRowDxfId="83" totalsRowDxfId="82">
  <tableColumns count="38">
    <tableColumn id="38" name="ID studente" dataDxfId="81" totalsRowDxfId="80"/>
    <tableColumn id="1" name="Nome studente" totalsRowLabel="Totale giorni di assenza" dataDxfId="79" totalsRowDxfId="78">
      <calculatedColumnFormula>IFERROR(VLOOKUP(FrequenzaLuglio[[#This Row],[ID studente]],ElencoStudenti[],18,FALSE),"")</calculatedColumnFormula>
    </tableColumn>
    <tableColumn id="2" name="1" totalsRowFunction="custom" dataDxfId="77" totalsRowDxfId="76">
      <totalsRowFormula>COUNTIF(FrequenzaLuglio[1],"N")+COUNTIF(FrequenzaLuglio[1],"G")</totalsRowFormula>
    </tableColumn>
    <tableColumn id="3" name="2" totalsRowFunction="custom" dataDxfId="75" totalsRowDxfId="74">
      <totalsRowFormula>COUNTIF(FrequenzaLuglio[2],"N")+COUNTIF(FrequenzaLuglio[2],"G")</totalsRowFormula>
    </tableColumn>
    <tableColumn id="4" name="3" totalsRowFunction="custom" dataDxfId="73" totalsRowDxfId="72">
      <totalsRowFormula>COUNTIF(FrequenzaLuglio[3],"N")+COUNTIF(FrequenzaLuglio[3],"G")</totalsRowFormula>
    </tableColumn>
    <tableColumn id="5" name="4" totalsRowFunction="custom" dataDxfId="71" totalsRowDxfId="70">
      <totalsRowFormula>COUNTIF(FrequenzaLuglio[4],"N")+COUNTIF(FrequenzaLuglio[4],"G")</totalsRowFormula>
    </tableColumn>
    <tableColumn id="6" name="5" totalsRowFunction="custom" dataDxfId="69" totalsRowDxfId="68">
      <totalsRowFormula>COUNTIF(FrequenzaLuglio[5],"N")+COUNTIF(FrequenzaLuglio[5],"G")</totalsRowFormula>
    </tableColumn>
    <tableColumn id="7" name="6" totalsRowFunction="custom" dataDxfId="67" totalsRowDxfId="66">
      <totalsRowFormula>COUNTIF(FrequenzaLuglio[6],"N")+COUNTIF(FrequenzaLuglio[6],"G")</totalsRowFormula>
    </tableColumn>
    <tableColumn id="8" name="7" totalsRowFunction="custom" dataDxfId="65" totalsRowDxfId="64">
      <totalsRowFormula>COUNTIF(FrequenzaLuglio[7],"N")+COUNTIF(FrequenzaLuglio[7],"G")</totalsRowFormula>
    </tableColumn>
    <tableColumn id="9" name="8" totalsRowFunction="custom" dataDxfId="63" totalsRowDxfId="62">
      <totalsRowFormula>COUNTIF(FrequenzaLuglio[8],"N")+COUNTIF(FrequenzaLuglio[8],"G")</totalsRowFormula>
    </tableColumn>
    <tableColumn id="10" name="9" totalsRowFunction="custom" dataDxfId="61" totalsRowDxfId="60">
      <totalsRowFormula>COUNTIF(FrequenzaLuglio[9],"N")+COUNTIF(FrequenzaLuglio[9],"G")</totalsRowFormula>
    </tableColumn>
    <tableColumn id="11" name="10" totalsRowFunction="custom" dataDxfId="59" totalsRowDxfId="58">
      <totalsRowFormula>COUNTIF(FrequenzaLuglio[10],"N")+COUNTIF(FrequenzaLuglio[10],"G")</totalsRowFormula>
    </tableColumn>
    <tableColumn id="12" name="11" totalsRowFunction="custom" dataDxfId="57" totalsRowDxfId="56">
      <totalsRowFormula>COUNTIF(FrequenzaLuglio[11],"N")+COUNTIF(FrequenzaLuglio[11],"G")</totalsRowFormula>
    </tableColumn>
    <tableColumn id="13" name="12" totalsRowFunction="custom" dataDxfId="55" totalsRowDxfId="54">
      <totalsRowFormula>COUNTIF(FrequenzaLuglio[12],"N")+COUNTIF(FrequenzaLuglio[12],"G")</totalsRowFormula>
    </tableColumn>
    <tableColumn id="14" name="13" totalsRowFunction="custom" dataDxfId="53" totalsRowDxfId="52">
      <totalsRowFormula>COUNTIF(FrequenzaLuglio[13],"N")+COUNTIF(FrequenzaLuglio[13],"G")</totalsRowFormula>
    </tableColumn>
    <tableColumn id="15" name="14" totalsRowFunction="custom" dataDxfId="51" totalsRowDxfId="50">
      <totalsRowFormula>COUNTIF(FrequenzaLuglio[14],"N")+COUNTIF(FrequenzaLuglio[14],"G")</totalsRowFormula>
    </tableColumn>
    <tableColumn id="16" name="15" totalsRowFunction="custom" dataDxfId="49" totalsRowDxfId="48">
      <totalsRowFormula>COUNTIF(FrequenzaLuglio[15],"N")+COUNTIF(FrequenzaLuglio[15],"G")</totalsRowFormula>
    </tableColumn>
    <tableColumn id="17" name="16" totalsRowFunction="custom" dataDxfId="47" totalsRowDxfId="46">
      <totalsRowFormula>COUNTIF(FrequenzaLuglio[16],"N")+COUNTIF(FrequenzaLuglio[16],"G")</totalsRowFormula>
    </tableColumn>
    <tableColumn id="18" name="17" totalsRowFunction="custom" dataDxfId="45" totalsRowDxfId="44">
      <totalsRowFormula>COUNTIF(FrequenzaLuglio[17],"N")+COUNTIF(FrequenzaLuglio[17],"G")</totalsRowFormula>
    </tableColumn>
    <tableColumn id="19" name="18" totalsRowFunction="custom" dataDxfId="43" totalsRowDxfId="42">
      <totalsRowFormula>COUNTIF(FrequenzaLuglio[18],"N")+COUNTIF(FrequenzaLuglio[18],"G")</totalsRowFormula>
    </tableColumn>
    <tableColumn id="20" name="19" totalsRowFunction="custom" dataDxfId="41" totalsRowDxfId="40">
      <totalsRowFormula>COUNTIF(FrequenzaLuglio[19],"N")+COUNTIF(FrequenzaLuglio[19],"G")</totalsRowFormula>
    </tableColumn>
    <tableColumn id="21" name="20" totalsRowFunction="custom" dataDxfId="39" totalsRowDxfId="38">
      <totalsRowFormula>COUNTIF(FrequenzaLuglio[20],"N")+COUNTIF(FrequenzaLuglio[20],"G")</totalsRowFormula>
    </tableColumn>
    <tableColumn id="22" name="21" totalsRowFunction="custom" dataDxfId="37" totalsRowDxfId="36">
      <totalsRowFormula>COUNTIF(FrequenzaLuglio[21],"N")+COUNTIF(FrequenzaLuglio[21],"G")</totalsRowFormula>
    </tableColumn>
    <tableColumn id="23" name="22" totalsRowFunction="custom" dataDxfId="35" totalsRowDxfId="34">
      <totalsRowFormula>COUNTIF(FrequenzaLuglio[22],"N")+COUNTIF(FrequenzaLuglio[22],"G")</totalsRowFormula>
    </tableColumn>
    <tableColumn id="24" name="23" totalsRowFunction="custom" dataDxfId="33" totalsRowDxfId="32">
      <totalsRowFormula>COUNTIF(FrequenzaLuglio[23],"N")+COUNTIF(FrequenzaLuglio[23],"G")</totalsRowFormula>
    </tableColumn>
    <tableColumn id="25" name="24" totalsRowFunction="custom" dataDxfId="31" totalsRowDxfId="30">
      <totalsRowFormula>COUNTIF(FrequenzaLuglio[24],"N")+COUNTIF(FrequenzaLuglio[24],"G")</totalsRowFormula>
    </tableColumn>
    <tableColumn id="26" name="25" totalsRowFunction="custom" dataDxfId="29" totalsRowDxfId="28">
      <totalsRowFormula>COUNTIF(FrequenzaLuglio[25],"N")+COUNTIF(FrequenzaLuglio[25],"G")</totalsRowFormula>
    </tableColumn>
    <tableColumn id="27" name="26" totalsRowFunction="custom" dataDxfId="27" totalsRowDxfId="26">
      <totalsRowFormula>COUNTIF(FrequenzaLuglio[26],"N")+COUNTIF(FrequenzaLuglio[26],"G")</totalsRowFormula>
    </tableColumn>
    <tableColumn id="28" name="27" totalsRowFunction="custom" dataDxfId="25" totalsRowDxfId="24">
      <totalsRowFormula>COUNTIF(FrequenzaLuglio[27],"N")+COUNTIF(FrequenzaLuglio[27],"G")</totalsRowFormula>
    </tableColumn>
    <tableColumn id="29" name="28" totalsRowFunction="custom" dataDxfId="23" totalsRowDxfId="22">
      <totalsRowFormula>COUNTIF(FrequenzaLuglio[28],"N")+COUNTIF(FrequenzaLuglio[28],"G")</totalsRowFormula>
    </tableColumn>
    <tableColumn id="30" name="29" totalsRowFunction="custom" dataDxfId="21" totalsRowDxfId="20">
      <totalsRowFormula>COUNTIF(FrequenzaLuglio[29],"N")+COUNTIF(FrequenzaLuglio[29],"G")</totalsRowFormula>
    </tableColumn>
    <tableColumn id="31" name="30" totalsRowFunction="custom" dataDxfId="19" totalsRowDxfId="18">
      <totalsRowFormula>COUNTIF(FrequenzaLuglio[30],"N")+COUNTIF(FrequenzaLuglio[30],"G")</totalsRowFormula>
    </tableColumn>
    <tableColumn id="32" name="31" totalsRowFunction="custom" dataDxfId="17" totalsRowDxfId="16">
      <totalsRowFormula>COUNTIF(FrequenzaLuglio[31],"N")+COUNTIF(FrequenzaLuglio[31],"G")</totalsRowFormula>
    </tableColumn>
    <tableColumn id="35" name="I" totalsRowFunction="sum" dataDxfId="15" totalsRowDxfId="14"/>
    <tableColumn id="34" name="N" totalsRowFunction="sum" dataDxfId="13" totalsRowDxfId="12"/>
    <tableColumn id="37" name="G" totalsRowFunction="sum" dataDxfId="11" totalsRowDxfId="10"/>
    <tableColumn id="36" name="P" totalsRowFunction="sum" dataDxfId="9" totalsRowDxfId="8"/>
    <tableColumn id="33" name="Giorni di assenza" totalsRowFunction="sum" dataDxfId="7" totalsRowDxfId="6"/>
  </tableColumns>
  <tableStyleInfo name="Employee Absence Table" showFirstColumn="0" showLastColumn="0" showRowStripes="1" showColumnStripes="1"/>
  <extLst>
    <ext xmlns:x14="http://schemas.microsoft.com/office/spreadsheetml/2009/9/main" uri="{504A1905-F514-4f6f-8877-14C23A59335A}">
      <x14:table altText="Record di frequenza febbraio" altTextSummary="Tiene traccia della frequenza degli studenti, con valori quali R=In ritardo, G=Giustificato, N=Non giustificato, P=Presente, S=Scuola chiusa, per il mese di luglio."/>
    </ext>
  </extLst>
</table>
</file>

<file path=xl/tables/table2.xml><?xml version="1.0" encoding="utf-8"?>
<table xmlns="http://schemas.openxmlformats.org/spreadsheetml/2006/main" id="3" name="FrequenzaAgosto" displayName="FrequenzaAgosto" ref="B6:AM12" totalsRowCount="1" totalsRowDxfId="930">
  <tableColumns count="38">
    <tableColumn id="38" name="ID studente" totalsRowDxfId="929"/>
    <tableColumn id="1" name="Nome studente" totalsRowLabel="Totale giorni di assenza" totalsRowDxfId="928">
      <calculatedColumnFormula>IFERROR(VLOOKUP(FrequenzaAgosto[[#This Row],[ID studente]],ElencoStudenti[],18,FALSE),"")</calculatedColumnFormula>
    </tableColumn>
    <tableColumn id="2" name="1" totalsRowFunction="custom" totalsRowDxfId="927">
      <totalsRowFormula>COUNTIF(FrequenzaAgosto[1],"N")+COUNTIF(FrequenzaAgosto[1],"G")</totalsRowFormula>
    </tableColumn>
    <tableColumn id="3" name="2" totalsRowFunction="custom" totalsRowDxfId="926">
      <totalsRowFormula>COUNTIF(FrequenzaAgosto[2],"N")+COUNTIF(FrequenzaAgosto[2],"G")</totalsRowFormula>
    </tableColumn>
    <tableColumn id="4" name="3" totalsRowFunction="custom" totalsRowDxfId="925">
      <totalsRowFormula>COUNTIF(FrequenzaAgosto[3],"N")+COUNTIF(FrequenzaAgosto[3],"G")</totalsRowFormula>
    </tableColumn>
    <tableColumn id="5" name="4" totalsRowFunction="custom" totalsRowDxfId="924">
      <totalsRowFormula>COUNTIF(FrequenzaAgosto[4],"N")+COUNTIF(FrequenzaAgosto[4],"G")</totalsRowFormula>
    </tableColumn>
    <tableColumn id="6" name="5" totalsRowFunction="custom" totalsRowDxfId="923">
      <totalsRowFormula>COUNTIF(FrequenzaAgosto[5],"N")+COUNTIF(FrequenzaAgosto[5],"G")</totalsRowFormula>
    </tableColumn>
    <tableColumn id="7" name="6" totalsRowFunction="custom" totalsRowDxfId="922">
      <totalsRowFormula>COUNTIF(FrequenzaAgosto[6],"N")+COUNTIF(FrequenzaAgosto[6],"G")</totalsRowFormula>
    </tableColumn>
    <tableColumn id="8" name="7" totalsRowFunction="custom" totalsRowDxfId="921">
      <totalsRowFormula>COUNTIF(FrequenzaAgosto[7],"N")+COUNTIF(FrequenzaAgosto[7],"G")</totalsRowFormula>
    </tableColumn>
    <tableColumn id="9" name="8" totalsRowFunction="custom" totalsRowDxfId="920">
      <totalsRowFormula>COUNTIF(FrequenzaAgosto[8],"N")+COUNTIF(FrequenzaAgosto[8],"G")</totalsRowFormula>
    </tableColumn>
    <tableColumn id="10" name="9" totalsRowFunction="custom" totalsRowDxfId="919">
      <totalsRowFormula>COUNTIF(FrequenzaAgosto[9],"N")+COUNTIF(FrequenzaAgosto[9],"G")</totalsRowFormula>
    </tableColumn>
    <tableColumn id="11" name="10" totalsRowFunction="custom" totalsRowDxfId="918">
      <totalsRowFormula>COUNTIF(FrequenzaAgosto[10],"N")+COUNTIF(FrequenzaAgosto[10],"G")</totalsRowFormula>
    </tableColumn>
    <tableColumn id="12" name="11" totalsRowFunction="custom" totalsRowDxfId="917">
      <totalsRowFormula>COUNTIF(FrequenzaAgosto[11],"N")+COUNTIF(FrequenzaAgosto[11],"G")</totalsRowFormula>
    </tableColumn>
    <tableColumn id="13" name="12" totalsRowFunction="custom" totalsRowDxfId="916">
      <totalsRowFormula>COUNTIF(FrequenzaAgosto[12],"N")+COUNTIF(FrequenzaAgosto[12],"G")</totalsRowFormula>
    </tableColumn>
    <tableColumn id="14" name="13" totalsRowFunction="custom" totalsRowDxfId="915">
      <totalsRowFormula>COUNTIF(FrequenzaAgosto[13],"N")+COUNTIF(FrequenzaAgosto[13],"G")</totalsRowFormula>
    </tableColumn>
    <tableColumn id="15" name="14" totalsRowFunction="custom" totalsRowDxfId="914">
      <totalsRowFormula>COUNTIF(FrequenzaAgosto[14],"N")+COUNTIF(FrequenzaAgosto[14],"G")</totalsRowFormula>
    </tableColumn>
    <tableColumn id="16" name="15" totalsRowFunction="custom" totalsRowDxfId="913">
      <totalsRowFormula>COUNTIF(FrequenzaAgosto[15],"N")+COUNTIF(FrequenzaAgosto[15],"G")</totalsRowFormula>
    </tableColumn>
    <tableColumn id="17" name="16" totalsRowFunction="custom" totalsRowDxfId="912">
      <totalsRowFormula>COUNTIF(FrequenzaAgosto[16],"N")+COUNTIF(FrequenzaAgosto[16],"G")</totalsRowFormula>
    </tableColumn>
    <tableColumn id="18" name="17" totalsRowFunction="custom" totalsRowDxfId="911">
      <totalsRowFormula>COUNTIF(FrequenzaAgosto[17],"N")+COUNTIF(FrequenzaAgosto[17],"G")</totalsRowFormula>
    </tableColumn>
    <tableColumn id="19" name="18" totalsRowFunction="custom" totalsRowDxfId="910">
      <totalsRowFormula>COUNTIF(FrequenzaAgosto[18],"N")+COUNTIF(FrequenzaAgosto[18],"G")</totalsRowFormula>
    </tableColumn>
    <tableColumn id="20" name="19" totalsRowFunction="custom" totalsRowDxfId="909">
      <totalsRowFormula>COUNTIF(FrequenzaAgosto[19],"N")+COUNTIF(FrequenzaAgosto[19],"G")</totalsRowFormula>
    </tableColumn>
    <tableColumn id="21" name="20" totalsRowFunction="custom" totalsRowDxfId="908">
      <totalsRowFormula>COUNTIF(FrequenzaAgosto[20],"N")+COUNTIF(FrequenzaAgosto[20],"G")</totalsRowFormula>
    </tableColumn>
    <tableColumn id="22" name="21" totalsRowFunction="custom" totalsRowDxfId="907">
      <totalsRowFormula>COUNTIF(FrequenzaAgosto[21],"N")+COUNTIF(FrequenzaAgosto[21],"G")</totalsRowFormula>
    </tableColumn>
    <tableColumn id="23" name="22" totalsRowFunction="custom" totalsRowDxfId="906">
      <totalsRowFormula>COUNTIF(FrequenzaAgosto[22],"N")+COUNTIF(FrequenzaAgosto[22],"G")</totalsRowFormula>
    </tableColumn>
    <tableColumn id="24" name="23" totalsRowFunction="custom" totalsRowDxfId="905">
      <totalsRowFormula>COUNTIF(FrequenzaAgosto[23],"N")+COUNTIF(FrequenzaAgosto[23],"G")</totalsRowFormula>
    </tableColumn>
    <tableColumn id="25" name="24" totalsRowFunction="custom" totalsRowDxfId="904">
      <totalsRowFormula>COUNTIF(FrequenzaAgosto[24],"N")+COUNTIF(FrequenzaAgosto[24],"G")</totalsRowFormula>
    </tableColumn>
    <tableColumn id="26" name="25" totalsRowFunction="custom" totalsRowDxfId="903">
      <totalsRowFormula>COUNTIF(FrequenzaAgosto[25],"N")+COUNTIF(FrequenzaAgosto[25],"G")</totalsRowFormula>
    </tableColumn>
    <tableColumn id="27" name="26" totalsRowFunction="custom" totalsRowDxfId="902">
      <totalsRowFormula>COUNTIF(FrequenzaAgosto[26],"N")+COUNTIF(FrequenzaAgosto[26],"G")</totalsRowFormula>
    </tableColumn>
    <tableColumn id="28" name="27" totalsRowFunction="custom" totalsRowDxfId="901">
      <totalsRowFormula>COUNTIF(FrequenzaAgosto[27],"N")+COUNTIF(FrequenzaAgosto[27],"G")</totalsRowFormula>
    </tableColumn>
    <tableColumn id="29" name="28" totalsRowFunction="custom" totalsRowDxfId="900">
      <totalsRowFormula>COUNTIF(FrequenzaAgosto[28],"N")+COUNTIF(FrequenzaAgosto[28],"G")</totalsRowFormula>
    </tableColumn>
    <tableColumn id="30" name="29" totalsRowFunction="custom" totalsRowDxfId="899">
      <totalsRowFormula>COUNTIF(FrequenzaAgosto[29],"N")+COUNTIF(FrequenzaAgosto[29],"G")</totalsRowFormula>
    </tableColumn>
    <tableColumn id="31" name="30" totalsRowFunction="custom" totalsRowDxfId="898">
      <totalsRowFormula>COUNTIF(FrequenzaAgosto[30],"N")+COUNTIF(FrequenzaAgosto[30],"G")</totalsRowFormula>
    </tableColumn>
    <tableColumn id="32" name="31" totalsRowFunction="custom" totalsRowDxfId="897">
      <totalsRowFormula>COUNTIF(FrequenzaAgosto[31],"N")+COUNTIF(FrequenzaAgosto[31],"G")</totalsRowFormula>
    </tableColumn>
    <tableColumn id="35" name="I" totalsRowFunction="sum" dataDxfId="896" totalsRowDxfId="895"/>
    <tableColumn id="34" name="N" totalsRowFunction="sum" dataDxfId="894" totalsRowDxfId="893"/>
    <tableColumn id="37" name="G" totalsRowFunction="sum" dataDxfId="892" totalsRowDxfId="891"/>
    <tableColumn id="36" name="P" totalsRowFunction="sum" dataDxfId="890" totalsRowDxfId="889"/>
    <tableColumn id="33" name="Giorni di assenza" totalsRowFunction="sum" totalsRowDxfId="888"/>
  </tableColumns>
  <tableStyleInfo name="Employee Absence Table" showFirstColumn="0" showLastColumn="1" showRowStripes="1" showColumnStripes="1"/>
  <extLst>
    <ext xmlns:x14="http://schemas.microsoft.com/office/spreadsheetml/2009/9/main" uri="{504A1905-F514-4f6f-8877-14C23A59335A}">
      <x14:table altText="Record di frequenza agosto" altTextSummary="Tiene traccia della frequenza degli studenti, con valori quali R=In ritardo, G=Giustificato, N=Non giustificato, P=Presente, S=Scuola chiusa, per il mese di agosto."/>
    </ext>
  </extLst>
</table>
</file>

<file path=xl/tables/table3.xml><?xml version="1.0" encoding="utf-8"?>
<table xmlns="http://schemas.openxmlformats.org/spreadsheetml/2006/main" id="10" name="FrequenzaSettembre" displayName="FrequenzaSettembre" ref="B6:AM12" totalsRowCount="1" totalsRowDxfId="877">
  <tableColumns count="38">
    <tableColumn id="38" name="ID studente" totalsRowDxfId="876"/>
    <tableColumn id="1" name="Nome studente" totalsRowLabel="Totale giorni di assenza" dataDxfId="875" totalsRowDxfId="874">
      <calculatedColumnFormula>IFERROR(VLOOKUP(FrequenzaSettembre[[#This Row],[ID studente]],ElencoStudenti[],18,FALSE),"")</calculatedColumnFormula>
    </tableColumn>
    <tableColumn id="2" name="1" totalsRowFunction="custom" totalsRowDxfId="873">
      <totalsRowFormula>COUNTIF(FrequenzaSettembre[1],"N")+COUNTIF(FrequenzaSettembre[1],"G")</totalsRowFormula>
    </tableColumn>
    <tableColumn id="3" name="2" totalsRowFunction="custom" totalsRowDxfId="872">
      <totalsRowFormula>COUNTIF(FrequenzaSettembre[2],"N")+COUNTIF(FrequenzaSettembre[2],"G")</totalsRowFormula>
    </tableColumn>
    <tableColumn id="4" name="3" totalsRowFunction="custom" totalsRowDxfId="871">
      <totalsRowFormula>COUNTIF(FrequenzaSettembre[3],"N")+COUNTIF(FrequenzaSettembre[3],"G")</totalsRowFormula>
    </tableColumn>
    <tableColumn id="5" name="4" totalsRowFunction="custom" totalsRowDxfId="870">
      <totalsRowFormula>COUNTIF(FrequenzaSettembre[4],"N")+COUNTIF(FrequenzaSettembre[4],"G")</totalsRowFormula>
    </tableColumn>
    <tableColumn id="6" name="5" totalsRowFunction="custom" totalsRowDxfId="869">
      <totalsRowFormula>COUNTIF(FrequenzaSettembre[5],"N")+COUNTIF(FrequenzaSettembre[5],"G")</totalsRowFormula>
    </tableColumn>
    <tableColumn id="7" name="6" totalsRowFunction="custom" totalsRowDxfId="868">
      <totalsRowFormula>COUNTIF(FrequenzaSettembre[6],"N")+COUNTIF(FrequenzaSettembre[6],"G")</totalsRowFormula>
    </tableColumn>
    <tableColumn id="8" name="7" totalsRowFunction="custom" totalsRowDxfId="867">
      <totalsRowFormula>COUNTIF(FrequenzaSettembre[7],"N")+COUNTIF(FrequenzaSettembre[7],"G")</totalsRowFormula>
    </tableColumn>
    <tableColumn id="9" name="8" totalsRowFunction="custom" totalsRowDxfId="866">
      <totalsRowFormula>COUNTIF(FrequenzaSettembre[8],"N")+COUNTIF(FrequenzaSettembre[8],"G")</totalsRowFormula>
    </tableColumn>
    <tableColumn id="10" name="9" totalsRowFunction="custom" totalsRowDxfId="865">
      <totalsRowFormula>COUNTIF(FrequenzaSettembre[9],"N")+COUNTIF(FrequenzaSettembre[9],"G")</totalsRowFormula>
    </tableColumn>
    <tableColumn id="11" name="10" totalsRowFunction="custom" totalsRowDxfId="864">
      <totalsRowFormula>COUNTIF(FrequenzaSettembre[10],"N")+COUNTIF(FrequenzaSettembre[10],"G")</totalsRowFormula>
    </tableColumn>
    <tableColumn id="12" name="11" totalsRowFunction="custom" totalsRowDxfId="863">
      <totalsRowFormula>COUNTIF(FrequenzaSettembre[11],"N")+COUNTIF(FrequenzaSettembre[11],"G")</totalsRowFormula>
    </tableColumn>
    <tableColumn id="13" name="12" totalsRowFunction="custom" totalsRowDxfId="862">
      <totalsRowFormula>COUNTIF(FrequenzaSettembre[12],"N")+COUNTIF(FrequenzaSettembre[12],"G")</totalsRowFormula>
    </tableColumn>
    <tableColumn id="14" name="13" totalsRowFunction="custom" totalsRowDxfId="861">
      <totalsRowFormula>COUNTIF(FrequenzaSettembre[13],"N")+COUNTIF(FrequenzaSettembre[13],"G")</totalsRowFormula>
    </tableColumn>
    <tableColumn id="15" name="14" totalsRowFunction="custom" totalsRowDxfId="860">
      <totalsRowFormula>COUNTIF(FrequenzaSettembre[14],"N")+COUNTIF(FrequenzaSettembre[14],"G")</totalsRowFormula>
    </tableColumn>
    <tableColumn id="16" name="15" totalsRowFunction="custom" totalsRowDxfId="859">
      <totalsRowFormula>COUNTIF(FrequenzaSettembre[15],"N")+COUNTIF(FrequenzaSettembre[15],"G")</totalsRowFormula>
    </tableColumn>
    <tableColumn id="17" name="16" totalsRowFunction="custom" totalsRowDxfId="858">
      <totalsRowFormula>COUNTIF(FrequenzaSettembre[16],"N")+COUNTIF(FrequenzaSettembre[16],"G")</totalsRowFormula>
    </tableColumn>
    <tableColumn id="18" name="17" totalsRowFunction="custom" totalsRowDxfId="857">
      <totalsRowFormula>COUNTIF(FrequenzaSettembre[17],"N")+COUNTIF(FrequenzaSettembre[17],"G")</totalsRowFormula>
    </tableColumn>
    <tableColumn id="19" name="18" totalsRowFunction="custom" totalsRowDxfId="856">
      <totalsRowFormula>COUNTIF(FrequenzaSettembre[18],"N")+COUNTIF(FrequenzaSettembre[18],"G")</totalsRowFormula>
    </tableColumn>
    <tableColumn id="20" name="19" totalsRowFunction="custom" totalsRowDxfId="855">
      <totalsRowFormula>COUNTIF(FrequenzaSettembre[19],"N")+COUNTIF(FrequenzaSettembre[19],"G")</totalsRowFormula>
    </tableColumn>
    <tableColumn id="21" name="20" totalsRowFunction="custom" totalsRowDxfId="854">
      <totalsRowFormula>COUNTIF(FrequenzaSettembre[20],"N")+COUNTIF(FrequenzaSettembre[20],"G")</totalsRowFormula>
    </tableColumn>
    <tableColumn id="22" name="21" totalsRowFunction="custom" totalsRowDxfId="853">
      <totalsRowFormula>COUNTIF(FrequenzaSettembre[21],"N")+COUNTIF(FrequenzaSettembre[21],"G")</totalsRowFormula>
    </tableColumn>
    <tableColumn id="23" name="22" totalsRowFunction="custom" totalsRowDxfId="852">
      <totalsRowFormula>COUNTIF(FrequenzaSettembre[22],"N")+COUNTIF(FrequenzaSettembre[22],"G")</totalsRowFormula>
    </tableColumn>
    <tableColumn id="24" name="23" totalsRowFunction="custom" totalsRowDxfId="851">
      <totalsRowFormula>COUNTIF(FrequenzaSettembre[23],"N")+COUNTIF(FrequenzaSettembre[23],"G")</totalsRowFormula>
    </tableColumn>
    <tableColumn id="25" name="24" totalsRowFunction="custom" totalsRowDxfId="850">
      <totalsRowFormula>COUNTIF(FrequenzaSettembre[24],"N")+COUNTIF(FrequenzaSettembre[24],"G")</totalsRowFormula>
    </tableColumn>
    <tableColumn id="26" name="25" totalsRowFunction="custom" totalsRowDxfId="849">
      <totalsRowFormula>COUNTIF(FrequenzaSettembre[25],"N")+COUNTIF(FrequenzaSettembre[25],"G")</totalsRowFormula>
    </tableColumn>
    <tableColumn id="27" name="26" totalsRowFunction="custom" totalsRowDxfId="848">
      <totalsRowFormula>COUNTIF(FrequenzaSettembre[26],"N")+COUNTIF(FrequenzaSettembre[26],"G")</totalsRowFormula>
    </tableColumn>
    <tableColumn id="28" name="27" totalsRowFunction="custom" totalsRowDxfId="847">
      <totalsRowFormula>COUNTIF(FrequenzaSettembre[27],"N")+COUNTIF(FrequenzaSettembre[27],"G")</totalsRowFormula>
    </tableColumn>
    <tableColumn id="29" name="28" totalsRowFunction="custom" totalsRowDxfId="846">
      <totalsRowFormula>COUNTIF(FrequenzaSettembre[28],"N")+COUNTIF(FrequenzaSettembre[28],"G")</totalsRowFormula>
    </tableColumn>
    <tableColumn id="30" name="29" totalsRowFunction="custom" totalsRowDxfId="845">
      <totalsRowFormula>COUNTIF(FrequenzaSettembre[29],"N")+COUNTIF(FrequenzaSettembre[29],"G")</totalsRowFormula>
    </tableColumn>
    <tableColumn id="31" name="30" totalsRowFunction="custom" totalsRowDxfId="844">
      <totalsRowFormula>COUNTIF(FrequenzaSettembre[30],"N")+COUNTIF(FrequenzaSettembre[30],"G")</totalsRowFormula>
    </tableColumn>
    <tableColumn id="32" name=" " totalsRowFunction="custom" totalsRowDxfId="843">
      <totalsRowFormula>COUNTIF(FrequenzaSettembre[[ ]],"N")+COUNTIF(FrequenzaSettembre[[ ]],"G")</totalsRowFormula>
    </tableColumn>
    <tableColumn id="35" name="I" totalsRowFunction="sum" totalsRowDxfId="842"/>
    <tableColumn id="34" name="N" totalsRowFunction="sum" totalsRowDxfId="841"/>
    <tableColumn id="37" name="G" totalsRowFunction="sum" totalsRowDxfId="840"/>
    <tableColumn id="36" name="P" totalsRowFunction="sum" totalsRowDxfId="839"/>
    <tableColumn id="33" name="Giorni di assenza" totalsRowFunction="sum" totalsRowDxfId="838"/>
  </tableColumns>
  <tableStyleInfo name="Employee Absence Table" showFirstColumn="0" showLastColumn="1" showRowStripes="1" showColumnStripes="1"/>
  <extLst>
    <ext xmlns:x14="http://schemas.microsoft.com/office/spreadsheetml/2009/9/main" uri="{504A1905-F514-4f6f-8877-14C23A59335A}">
      <x14:table altText="Record di frequenza agosto" altTextSummary="Tiene traccia della frequenza degli studenti, con valori quali R=In ritardo, G=Giustificato, N=Non giustificato, P=Presente, S=Scuola chiusa, per il mese di settembre."/>
    </ext>
  </extLst>
</table>
</file>

<file path=xl/tables/table4.xml><?xml version="1.0" encoding="utf-8"?>
<table xmlns="http://schemas.openxmlformats.org/spreadsheetml/2006/main" id="2" name="FrequenzaOttobre" displayName="FrequenzaOttobre" ref="B6:AM12" totalsRowCount="1" totalsRowDxfId="827">
  <tableColumns count="38">
    <tableColumn id="38" name="ID studente" totalsRowDxfId="826"/>
    <tableColumn id="1" name="Nome studente" totalsRowLabel="Totale giorni di assenza" dataDxfId="825" totalsRowDxfId="824">
      <calculatedColumnFormula>IFERROR(VLOOKUP(FrequenzaOttobre[[#This Row],[ID studente]],ElencoStudenti[],18,FALSE),"")</calculatedColumnFormula>
    </tableColumn>
    <tableColumn id="2" name="1" totalsRowFunction="custom" dataDxfId="823" totalsRowDxfId="822">
      <totalsRowFormula>COUNTIF(FrequenzaOttobre[1],"N")+COUNTIF(FrequenzaOttobre[1],"G")</totalsRowFormula>
    </tableColumn>
    <tableColumn id="3" name="2" totalsRowFunction="custom" dataDxfId="821" totalsRowDxfId="820">
      <totalsRowFormula>COUNTIF(FrequenzaOttobre[2],"N")+COUNTIF(FrequenzaOttobre[2],"G")</totalsRowFormula>
    </tableColumn>
    <tableColumn id="4" name="3" totalsRowFunction="custom" dataDxfId="819" totalsRowDxfId="818">
      <totalsRowFormula>COUNTIF(FrequenzaOttobre[3],"N")+COUNTIF(FrequenzaOttobre[3],"G")</totalsRowFormula>
    </tableColumn>
    <tableColumn id="5" name="4" totalsRowFunction="custom" dataDxfId="817" totalsRowDxfId="816">
      <totalsRowFormula>COUNTIF(FrequenzaOttobre[4],"N")+COUNTIF(FrequenzaOttobre[4],"G")</totalsRowFormula>
    </tableColumn>
    <tableColumn id="6" name="5" totalsRowFunction="custom" dataDxfId="815" totalsRowDxfId="814">
      <totalsRowFormula>COUNTIF(FrequenzaOttobre[5],"N")+COUNTIF(FrequenzaOttobre[5],"G")</totalsRowFormula>
    </tableColumn>
    <tableColumn id="7" name="6" totalsRowFunction="custom" dataDxfId="813" totalsRowDxfId="812">
      <totalsRowFormula>COUNTIF(FrequenzaOttobre[6],"N")+COUNTIF(FrequenzaOttobre[6],"G")</totalsRowFormula>
    </tableColumn>
    <tableColumn id="8" name="7" totalsRowFunction="custom" dataDxfId="811" totalsRowDxfId="810">
      <totalsRowFormula>COUNTIF(FrequenzaOttobre[7],"N")+COUNTIF(FrequenzaOttobre[7],"G")</totalsRowFormula>
    </tableColumn>
    <tableColumn id="9" name="8" totalsRowFunction="custom" dataDxfId="809" totalsRowDxfId="808">
      <totalsRowFormula>COUNTIF(FrequenzaOttobre[8],"N")+COUNTIF(FrequenzaOttobre[8],"G")</totalsRowFormula>
    </tableColumn>
    <tableColumn id="10" name="9" totalsRowFunction="custom" dataDxfId="807" totalsRowDxfId="806">
      <totalsRowFormula>COUNTIF(FrequenzaOttobre[9],"N")+COUNTIF(FrequenzaOttobre[9],"G")</totalsRowFormula>
    </tableColumn>
    <tableColumn id="11" name="10" totalsRowFunction="custom" dataDxfId="805" totalsRowDxfId="804">
      <totalsRowFormula>COUNTIF(FrequenzaOttobre[10],"N")+COUNTIF(FrequenzaOttobre[10],"G")</totalsRowFormula>
    </tableColumn>
    <tableColumn id="12" name="11" totalsRowFunction="custom" dataDxfId="803" totalsRowDxfId="802">
      <totalsRowFormula>COUNTIF(FrequenzaOttobre[11],"N")+COUNTIF(FrequenzaOttobre[11],"G")</totalsRowFormula>
    </tableColumn>
    <tableColumn id="13" name="12" totalsRowFunction="custom" dataDxfId="801" totalsRowDxfId="800">
      <totalsRowFormula>COUNTIF(FrequenzaOttobre[12],"N")+COUNTIF(FrequenzaOttobre[12],"G")</totalsRowFormula>
    </tableColumn>
    <tableColumn id="14" name="13" totalsRowFunction="custom" dataDxfId="799" totalsRowDxfId="798">
      <totalsRowFormula>COUNTIF(FrequenzaOttobre[13],"N")+COUNTIF(FrequenzaOttobre[13],"G")</totalsRowFormula>
    </tableColumn>
    <tableColumn id="15" name="14" totalsRowFunction="custom" dataDxfId="797" totalsRowDxfId="796">
      <totalsRowFormula>COUNTIF(FrequenzaOttobre[14],"N")+COUNTIF(FrequenzaOttobre[14],"G")</totalsRowFormula>
    </tableColumn>
    <tableColumn id="16" name="15" totalsRowFunction="custom" dataDxfId="795" totalsRowDxfId="794">
      <totalsRowFormula>COUNTIF(FrequenzaOttobre[15],"N")+COUNTIF(FrequenzaOttobre[15],"G")</totalsRowFormula>
    </tableColumn>
    <tableColumn id="17" name="16" totalsRowFunction="custom" dataDxfId="793" totalsRowDxfId="792">
      <totalsRowFormula>COUNTIF(FrequenzaOttobre[16],"N")+COUNTIF(FrequenzaOttobre[16],"G")</totalsRowFormula>
    </tableColumn>
    <tableColumn id="18" name="17" totalsRowFunction="custom" dataDxfId="791" totalsRowDxfId="790">
      <totalsRowFormula>COUNTIF(FrequenzaOttobre[17],"N")+COUNTIF(FrequenzaOttobre[17],"G")</totalsRowFormula>
    </tableColumn>
    <tableColumn id="19" name="18" totalsRowFunction="custom" dataDxfId="789" totalsRowDxfId="788">
      <totalsRowFormula>COUNTIF(FrequenzaOttobre[18],"N")+COUNTIF(FrequenzaOttobre[18],"G")</totalsRowFormula>
    </tableColumn>
    <tableColumn id="20" name="19" totalsRowFunction="custom" dataDxfId="787" totalsRowDxfId="786">
      <totalsRowFormula>COUNTIF(FrequenzaOttobre[19],"N")+COUNTIF(FrequenzaOttobre[19],"G")</totalsRowFormula>
    </tableColumn>
    <tableColumn id="21" name="20" totalsRowFunction="custom" dataDxfId="785" totalsRowDxfId="784">
      <totalsRowFormula>COUNTIF(FrequenzaOttobre[20],"N")+COUNTIF(FrequenzaOttobre[20],"G")</totalsRowFormula>
    </tableColumn>
    <tableColumn id="22" name="21" totalsRowFunction="custom" dataDxfId="783" totalsRowDxfId="782">
      <totalsRowFormula>COUNTIF(FrequenzaOttobre[21],"N")+COUNTIF(FrequenzaOttobre[21],"G")</totalsRowFormula>
    </tableColumn>
    <tableColumn id="23" name="22" totalsRowFunction="custom" dataDxfId="781" totalsRowDxfId="780">
      <totalsRowFormula>COUNTIF(FrequenzaOttobre[22],"N")+COUNTIF(FrequenzaOttobre[22],"G")</totalsRowFormula>
    </tableColumn>
    <tableColumn id="24" name="23" totalsRowFunction="custom" dataDxfId="779" totalsRowDxfId="778">
      <totalsRowFormula>COUNTIF(FrequenzaOttobre[23],"N")+COUNTIF(FrequenzaOttobre[23],"G")</totalsRowFormula>
    </tableColumn>
    <tableColumn id="25" name="24" totalsRowFunction="custom" dataDxfId="777" totalsRowDxfId="776">
      <totalsRowFormula>COUNTIF(FrequenzaOttobre[24],"N")+COUNTIF(FrequenzaOttobre[24],"G")</totalsRowFormula>
    </tableColumn>
    <tableColumn id="26" name="25" totalsRowFunction="custom" dataDxfId="775" totalsRowDxfId="774">
      <totalsRowFormula>COUNTIF(FrequenzaOttobre[25],"N")+COUNTIF(FrequenzaOttobre[25],"G")</totalsRowFormula>
    </tableColumn>
    <tableColumn id="27" name="26" totalsRowFunction="custom" dataDxfId="773" totalsRowDxfId="772">
      <totalsRowFormula>COUNTIF(FrequenzaOttobre[26],"N")+COUNTIF(FrequenzaOttobre[26],"G")</totalsRowFormula>
    </tableColumn>
    <tableColumn id="28" name="27" totalsRowFunction="custom" dataDxfId="771" totalsRowDxfId="770">
      <totalsRowFormula>COUNTIF(FrequenzaOttobre[27],"N")+COUNTIF(FrequenzaOttobre[27],"G")</totalsRowFormula>
    </tableColumn>
    <tableColumn id="29" name="28" totalsRowFunction="custom" dataDxfId="769" totalsRowDxfId="768">
      <totalsRowFormula>COUNTIF(FrequenzaOttobre[28],"N")+COUNTIF(FrequenzaOttobre[28],"G")</totalsRowFormula>
    </tableColumn>
    <tableColumn id="30" name="29" totalsRowFunction="custom" dataDxfId="767" totalsRowDxfId="766">
      <totalsRowFormula>COUNTIF(FrequenzaOttobre[29],"N")+COUNTIF(FrequenzaOttobre[29],"G")</totalsRowFormula>
    </tableColumn>
    <tableColumn id="31" name="30" totalsRowFunction="custom" totalsRowDxfId="765">
      <totalsRowFormula>COUNTIF(FrequenzaOttobre[30],"N")+COUNTIF(FrequenzaOttobre[30],"G")</totalsRowFormula>
    </tableColumn>
    <tableColumn id="32" name="31" totalsRowFunction="custom" totalsRowDxfId="764">
      <totalsRowFormula>COUNTIF(FrequenzaOttobre[31],"N")+COUNTIF(FrequenzaOttobre[31],"G")</totalsRowFormula>
    </tableColumn>
    <tableColumn id="35" name="I" totalsRowFunction="sum" dataDxfId="763" totalsRowDxfId="762"/>
    <tableColumn id="34" name="N" totalsRowFunction="sum" dataDxfId="761" totalsRowDxfId="760"/>
    <tableColumn id="37" name="G" totalsRowFunction="sum" dataDxfId="759" totalsRowDxfId="758"/>
    <tableColumn id="36" name="P" totalsRowFunction="sum" dataDxfId="757" totalsRowDxfId="756"/>
    <tableColumn id="33" name="Giorni di assenza" totalsRowFunction="sum" totalsRowDxfId="755"/>
  </tableColumns>
  <tableStyleInfo name="Employee Absence Table" showFirstColumn="0" showLastColumn="1" showRowStripes="1" showColumnStripes="1"/>
  <extLst>
    <ext xmlns:x14="http://schemas.microsoft.com/office/spreadsheetml/2009/9/main" uri="{504A1905-F514-4f6f-8877-14C23A59335A}">
      <x14:table altText="Record di frequenza agosto" altTextSummary="Tiene traccia della frequenza degli studenti, con valori quali R=In ritardo, G=Giustificato, N=Non giustificato, P=Presente, S=Scuola chiusa, per il mese di ottobre."/>
    </ext>
  </extLst>
</table>
</file>

<file path=xl/tables/table5.xml><?xml version="1.0" encoding="utf-8"?>
<table xmlns="http://schemas.openxmlformats.org/spreadsheetml/2006/main" id="4" name="FrequenzaNovembre" displayName="FrequenzaNovembre" ref="B6:AM12" totalsRowCount="1" totalsRowDxfId="744">
  <tableColumns count="38">
    <tableColumn id="38" name="ID studente" totalsRowDxfId="743"/>
    <tableColumn id="1" name="Nome studente" totalsRowLabel="Totale giorni di assenza" dataDxfId="742" totalsRowDxfId="741">
      <calculatedColumnFormula>IFERROR(VLOOKUP(FrequenzaNovembre[[#This Row],[ID studente]],ElencoStudenti[],18,FALSE),"")</calculatedColumnFormula>
    </tableColumn>
    <tableColumn id="2" name="1" totalsRowFunction="custom" dataDxfId="740" totalsRowDxfId="739">
      <totalsRowFormula>COUNTIF(FrequenzaNovembre[1],"N")+COUNTIF(FrequenzaNovembre[1],"G")</totalsRowFormula>
    </tableColumn>
    <tableColumn id="3" name="2" totalsRowFunction="custom" dataDxfId="738" totalsRowDxfId="737">
      <totalsRowFormula>COUNTIF(FrequenzaNovembre[2],"N")+COUNTIF(FrequenzaNovembre[2],"G")</totalsRowFormula>
    </tableColumn>
    <tableColumn id="4" name="3" totalsRowFunction="custom" dataDxfId="736" totalsRowDxfId="735">
      <totalsRowFormula>COUNTIF(FrequenzaNovembre[3],"N")+COUNTIF(FrequenzaNovembre[3],"G")</totalsRowFormula>
    </tableColumn>
    <tableColumn id="5" name="4" totalsRowFunction="custom" dataDxfId="734" totalsRowDxfId="733">
      <totalsRowFormula>COUNTIF(FrequenzaNovembre[4],"N")+COUNTIF(FrequenzaNovembre[4],"G")</totalsRowFormula>
    </tableColumn>
    <tableColumn id="6" name="5" totalsRowFunction="custom" dataDxfId="732" totalsRowDxfId="731">
      <totalsRowFormula>COUNTIF(FrequenzaNovembre[5],"N")+COUNTIF(FrequenzaNovembre[5],"G")</totalsRowFormula>
    </tableColumn>
    <tableColumn id="7" name="6" totalsRowFunction="custom" dataDxfId="730" totalsRowDxfId="729">
      <totalsRowFormula>COUNTIF(FrequenzaNovembre[6],"N")+COUNTIF(FrequenzaNovembre[6],"G")</totalsRowFormula>
    </tableColumn>
    <tableColumn id="8" name="7" totalsRowFunction="custom" dataDxfId="728" totalsRowDxfId="727">
      <totalsRowFormula>COUNTIF(FrequenzaNovembre[7],"N")+COUNTIF(FrequenzaNovembre[7],"G")</totalsRowFormula>
    </tableColumn>
    <tableColumn id="9" name="8" totalsRowFunction="custom" dataDxfId="726" totalsRowDxfId="725">
      <totalsRowFormula>COUNTIF(FrequenzaNovembre[8],"N")+COUNTIF(FrequenzaNovembre[8],"G")</totalsRowFormula>
    </tableColumn>
    <tableColumn id="10" name="9" totalsRowFunction="custom" dataDxfId="724" totalsRowDxfId="723">
      <totalsRowFormula>COUNTIF(FrequenzaNovembre[9],"N")+COUNTIF(FrequenzaNovembre[9],"G")</totalsRowFormula>
    </tableColumn>
    <tableColumn id="11" name="10" totalsRowFunction="custom" dataDxfId="722" totalsRowDxfId="721">
      <totalsRowFormula>COUNTIF(FrequenzaNovembre[10],"N")+COUNTIF(FrequenzaNovembre[10],"G")</totalsRowFormula>
    </tableColumn>
    <tableColumn id="12" name="11" totalsRowFunction="custom" dataDxfId="720" totalsRowDxfId="719">
      <totalsRowFormula>COUNTIF(FrequenzaNovembre[11],"N")+COUNTIF(FrequenzaNovembre[11],"G")</totalsRowFormula>
    </tableColumn>
    <tableColumn id="13" name="12" totalsRowFunction="custom" dataDxfId="718" totalsRowDxfId="717">
      <totalsRowFormula>COUNTIF(FrequenzaNovembre[12],"N")+COUNTIF(FrequenzaNovembre[12],"G")</totalsRowFormula>
    </tableColumn>
    <tableColumn id="14" name="13" totalsRowFunction="custom" dataDxfId="716" totalsRowDxfId="715">
      <totalsRowFormula>COUNTIF(FrequenzaNovembre[13],"N")+COUNTIF(FrequenzaNovembre[13],"G")</totalsRowFormula>
    </tableColumn>
    <tableColumn id="15" name="14" totalsRowFunction="custom" dataDxfId="714" totalsRowDxfId="713">
      <totalsRowFormula>COUNTIF(FrequenzaNovembre[14],"N")+COUNTIF(FrequenzaNovembre[14],"G")</totalsRowFormula>
    </tableColumn>
    <tableColumn id="16" name="15" totalsRowFunction="custom" dataDxfId="712" totalsRowDxfId="711">
      <totalsRowFormula>COUNTIF(FrequenzaNovembre[15],"N")+COUNTIF(FrequenzaNovembre[15],"G")</totalsRowFormula>
    </tableColumn>
    <tableColumn id="17" name="16" totalsRowFunction="custom" dataDxfId="710" totalsRowDxfId="709">
      <totalsRowFormula>COUNTIF(FrequenzaNovembre[16],"N")+COUNTIF(FrequenzaNovembre[16],"G")</totalsRowFormula>
    </tableColumn>
    <tableColumn id="18" name="17" totalsRowFunction="custom" dataDxfId="708" totalsRowDxfId="707">
      <totalsRowFormula>COUNTIF(FrequenzaNovembre[17],"N")+COUNTIF(FrequenzaNovembre[17],"G")</totalsRowFormula>
    </tableColumn>
    <tableColumn id="19" name="18" totalsRowFunction="custom" dataDxfId="706" totalsRowDxfId="705">
      <totalsRowFormula>COUNTIF(FrequenzaNovembre[18],"N")+COUNTIF(FrequenzaNovembre[18],"G")</totalsRowFormula>
    </tableColumn>
    <tableColumn id="20" name="19" totalsRowFunction="custom" dataDxfId="704" totalsRowDxfId="703">
      <totalsRowFormula>COUNTIF(FrequenzaNovembre[19],"N")+COUNTIF(FrequenzaNovembre[19],"G")</totalsRowFormula>
    </tableColumn>
    <tableColumn id="21" name="20" totalsRowFunction="custom" dataDxfId="702" totalsRowDxfId="701">
      <totalsRowFormula>COUNTIF(FrequenzaNovembre[20],"N")+COUNTIF(FrequenzaNovembre[20],"G")</totalsRowFormula>
    </tableColumn>
    <tableColumn id="22" name="21" totalsRowFunction="custom" dataDxfId="700" totalsRowDxfId="699">
      <totalsRowFormula>COUNTIF(FrequenzaNovembre[21],"N")+COUNTIF(FrequenzaNovembre[21],"G")</totalsRowFormula>
    </tableColumn>
    <tableColumn id="23" name="22" totalsRowFunction="custom" dataDxfId="698" totalsRowDxfId="697">
      <totalsRowFormula>COUNTIF(FrequenzaNovembre[22],"N")+COUNTIF(FrequenzaNovembre[22],"G")</totalsRowFormula>
    </tableColumn>
    <tableColumn id="24" name="23" totalsRowFunction="custom" dataDxfId="696" totalsRowDxfId="695">
      <totalsRowFormula>COUNTIF(FrequenzaNovembre[23],"N")+COUNTIF(FrequenzaNovembre[23],"G")</totalsRowFormula>
    </tableColumn>
    <tableColumn id="25" name="24" totalsRowFunction="custom" dataDxfId="694" totalsRowDxfId="693">
      <totalsRowFormula>COUNTIF(FrequenzaNovembre[24],"N")+COUNTIF(FrequenzaNovembre[24],"G")</totalsRowFormula>
    </tableColumn>
    <tableColumn id="26" name="25" totalsRowFunction="custom" dataDxfId="692" totalsRowDxfId="691">
      <totalsRowFormula>COUNTIF(FrequenzaNovembre[25],"N")+COUNTIF(FrequenzaNovembre[25],"G")</totalsRowFormula>
    </tableColumn>
    <tableColumn id="27" name="26" totalsRowFunction="custom" dataDxfId="690" totalsRowDxfId="689">
      <totalsRowFormula>COUNTIF(FrequenzaNovembre[26],"N")+COUNTIF(FrequenzaNovembre[26],"G")</totalsRowFormula>
    </tableColumn>
    <tableColumn id="28" name="27" totalsRowFunction="custom" dataDxfId="688" totalsRowDxfId="687">
      <totalsRowFormula>COUNTIF(FrequenzaNovembre[27],"N")+COUNTIF(FrequenzaNovembre[27],"G")</totalsRowFormula>
    </tableColumn>
    <tableColumn id="29" name="28" totalsRowFunction="custom" dataDxfId="686" totalsRowDxfId="685">
      <totalsRowFormula>COUNTIF(FrequenzaNovembre[28],"N")+COUNTIF(FrequenzaNovembre[28],"G")</totalsRowFormula>
    </tableColumn>
    <tableColumn id="30" name="29" totalsRowFunction="custom" dataDxfId="684" totalsRowDxfId="683">
      <totalsRowFormula>COUNTIF(FrequenzaNovembre[29],"N")+COUNTIF(FrequenzaNovembre[29],"G")</totalsRowFormula>
    </tableColumn>
    <tableColumn id="31" name="30" totalsRowFunction="custom" totalsRowDxfId="682">
      <totalsRowFormula>COUNTIF(FrequenzaNovembre[30],"N")+COUNTIF(FrequenzaNovembre[30],"G")</totalsRowFormula>
    </tableColumn>
    <tableColumn id="32" name=" " totalsRowFunction="custom" totalsRowDxfId="681">
      <totalsRowFormula>COUNTIF(FrequenzaNovembre[[ ]],"N")+COUNTIF(FrequenzaNovembre[[ ]],"G")</totalsRowFormula>
    </tableColumn>
    <tableColumn id="35" name="I" totalsRowFunction="sum" dataDxfId="680" totalsRowDxfId="679"/>
    <tableColumn id="34" name="N" totalsRowFunction="sum" dataDxfId="678" totalsRowDxfId="677"/>
    <tableColumn id="37" name="G" totalsRowFunction="sum" dataDxfId="676" totalsRowDxfId="675"/>
    <tableColumn id="36" name="P" totalsRowFunction="sum" dataDxfId="674" totalsRowDxfId="673"/>
    <tableColumn id="33" name="Giorni di assenza" totalsRowFunction="sum" totalsRowDxfId="672"/>
  </tableColumns>
  <tableStyleInfo name="Employee Absence Table" showFirstColumn="0" showLastColumn="1" showRowStripes="1" showColumnStripes="1"/>
  <extLst>
    <ext xmlns:x14="http://schemas.microsoft.com/office/spreadsheetml/2009/9/main" uri="{504A1905-F514-4f6f-8877-14C23A59335A}">
      <x14:table altText="Record di frequenza agosto" altTextSummary="Tiene traccia della frequenza degli studenti, con valori quali R=In ritardo, G=Giustificato, N=Non giustificato, P=Presente, S=Scuola chiusa, per il mese di novembre."/>
    </ext>
  </extLst>
</table>
</file>

<file path=xl/tables/table6.xml><?xml version="1.0" encoding="utf-8"?>
<table xmlns="http://schemas.openxmlformats.org/spreadsheetml/2006/main" id="6" name="FrequenzaDicembre" displayName="FrequenzaDicembre" ref="B6:AM12" totalsRowCount="1" totalsRowDxfId="661">
  <tableColumns count="38">
    <tableColumn id="38" name="ID studente" totalsRowDxfId="660"/>
    <tableColumn id="1" name="Nome studente" totalsRowLabel="Totale giorni di assenza" dataDxfId="659" totalsRowDxfId="658">
      <calculatedColumnFormula>IFERROR(VLOOKUP(FrequenzaDicembre[[#This Row],[ID studente]],ElencoStudenti[],18,FALSE),"")</calculatedColumnFormula>
    </tableColumn>
    <tableColumn id="2" name="1" totalsRowFunction="custom" dataDxfId="657" totalsRowDxfId="656">
      <totalsRowFormula>COUNTIF(FrequenzaDicembre[1],"N")+COUNTIF(FrequenzaDicembre[1],"G")</totalsRowFormula>
    </tableColumn>
    <tableColumn id="3" name="2" totalsRowFunction="custom" dataDxfId="655" totalsRowDxfId="654">
      <totalsRowFormula>COUNTIF(FrequenzaDicembre[2],"N")+COUNTIF(FrequenzaDicembre[2],"G")</totalsRowFormula>
    </tableColumn>
    <tableColumn id="4" name="3" totalsRowFunction="custom" dataDxfId="653" totalsRowDxfId="652">
      <totalsRowFormula>COUNTIF(FrequenzaDicembre[3],"N")+COUNTIF(FrequenzaDicembre[3],"G")</totalsRowFormula>
    </tableColumn>
    <tableColumn id="5" name="4" totalsRowFunction="custom" dataDxfId="651" totalsRowDxfId="650">
      <totalsRowFormula>COUNTIF(FrequenzaDicembre[4],"N")+COUNTIF(FrequenzaDicembre[4],"G")</totalsRowFormula>
    </tableColumn>
    <tableColumn id="6" name="5" totalsRowFunction="custom" dataDxfId="649" totalsRowDxfId="648">
      <totalsRowFormula>COUNTIF(FrequenzaDicembre[5],"N")+COUNTIF(FrequenzaDicembre[5],"G")</totalsRowFormula>
    </tableColumn>
    <tableColumn id="7" name="6" totalsRowFunction="custom" dataDxfId="647" totalsRowDxfId="646">
      <totalsRowFormula>COUNTIF(FrequenzaDicembre[6],"N")+COUNTIF(FrequenzaDicembre[6],"G")</totalsRowFormula>
    </tableColumn>
    <tableColumn id="8" name="7" totalsRowFunction="custom" dataDxfId="645" totalsRowDxfId="644">
      <totalsRowFormula>COUNTIF(FrequenzaDicembre[7],"N")+COUNTIF(FrequenzaDicembre[7],"G")</totalsRowFormula>
    </tableColumn>
    <tableColumn id="9" name="8" totalsRowFunction="custom" dataDxfId="643" totalsRowDxfId="642">
      <totalsRowFormula>COUNTIF(FrequenzaDicembre[8],"N")+COUNTIF(FrequenzaDicembre[8],"G")</totalsRowFormula>
    </tableColumn>
    <tableColumn id="10" name="9" totalsRowFunction="custom" dataDxfId="641" totalsRowDxfId="640">
      <totalsRowFormula>COUNTIF(FrequenzaDicembre[9],"N")+COUNTIF(FrequenzaDicembre[9],"G")</totalsRowFormula>
    </tableColumn>
    <tableColumn id="11" name="10" totalsRowFunction="custom" dataDxfId="639" totalsRowDxfId="638">
      <totalsRowFormula>COUNTIF(FrequenzaDicembre[10],"N")+COUNTIF(FrequenzaDicembre[10],"G")</totalsRowFormula>
    </tableColumn>
    <tableColumn id="12" name="11" totalsRowFunction="custom" dataDxfId="637" totalsRowDxfId="636">
      <totalsRowFormula>COUNTIF(FrequenzaDicembre[11],"N")+COUNTIF(FrequenzaDicembre[11],"G")</totalsRowFormula>
    </tableColumn>
    <tableColumn id="13" name="12" totalsRowFunction="custom" dataDxfId="635" totalsRowDxfId="634">
      <totalsRowFormula>COUNTIF(FrequenzaDicembre[12],"N")+COUNTIF(FrequenzaDicembre[12],"G")</totalsRowFormula>
    </tableColumn>
    <tableColumn id="14" name="13" totalsRowFunction="custom" dataDxfId="633" totalsRowDxfId="632">
      <totalsRowFormula>COUNTIF(FrequenzaDicembre[13],"N")+COUNTIF(FrequenzaDicembre[13],"G")</totalsRowFormula>
    </tableColumn>
    <tableColumn id="15" name="14" totalsRowFunction="custom" dataDxfId="631" totalsRowDxfId="630">
      <totalsRowFormula>COUNTIF(FrequenzaDicembre[14],"N")+COUNTIF(FrequenzaDicembre[14],"G")</totalsRowFormula>
    </tableColumn>
    <tableColumn id="16" name="15" totalsRowFunction="custom" dataDxfId="629" totalsRowDxfId="628">
      <totalsRowFormula>COUNTIF(FrequenzaDicembre[15],"N")+COUNTIF(FrequenzaDicembre[15],"G")</totalsRowFormula>
    </tableColumn>
    <tableColumn id="17" name="16" totalsRowFunction="custom" dataDxfId="627" totalsRowDxfId="626">
      <totalsRowFormula>COUNTIF(FrequenzaDicembre[16],"N")+COUNTIF(FrequenzaDicembre[16],"G")</totalsRowFormula>
    </tableColumn>
    <tableColumn id="18" name="17" totalsRowFunction="custom" dataDxfId="625" totalsRowDxfId="624">
      <totalsRowFormula>COUNTIF(FrequenzaDicembre[17],"N")+COUNTIF(FrequenzaDicembre[17],"G")</totalsRowFormula>
    </tableColumn>
    <tableColumn id="19" name="18" totalsRowFunction="custom" dataDxfId="623" totalsRowDxfId="622">
      <totalsRowFormula>COUNTIF(FrequenzaDicembre[18],"N")+COUNTIF(FrequenzaDicembre[18],"G")</totalsRowFormula>
    </tableColumn>
    <tableColumn id="20" name="19" totalsRowFunction="custom" dataDxfId="621" totalsRowDxfId="620">
      <totalsRowFormula>COUNTIF(FrequenzaDicembre[19],"N")+COUNTIF(FrequenzaDicembre[19],"G")</totalsRowFormula>
    </tableColumn>
    <tableColumn id="21" name="20" totalsRowFunction="custom" dataDxfId="619" totalsRowDxfId="618">
      <totalsRowFormula>COUNTIF(FrequenzaDicembre[20],"N")+COUNTIF(FrequenzaDicembre[20],"G")</totalsRowFormula>
    </tableColumn>
    <tableColumn id="22" name="21" totalsRowFunction="custom" dataDxfId="617" totalsRowDxfId="616">
      <totalsRowFormula>COUNTIF(FrequenzaDicembre[21],"N")+COUNTIF(FrequenzaDicembre[21],"G")</totalsRowFormula>
    </tableColumn>
    <tableColumn id="23" name="22" totalsRowFunction="custom" dataDxfId="615" totalsRowDxfId="614">
      <totalsRowFormula>COUNTIF(FrequenzaDicembre[22],"N")+COUNTIF(FrequenzaDicembre[22],"G")</totalsRowFormula>
    </tableColumn>
    <tableColumn id="24" name="23" totalsRowFunction="custom" dataDxfId="613" totalsRowDxfId="612">
      <totalsRowFormula>COUNTIF(FrequenzaDicembre[23],"N")+COUNTIF(FrequenzaDicembre[23],"G")</totalsRowFormula>
    </tableColumn>
    <tableColumn id="25" name="24" totalsRowFunction="custom" dataDxfId="611" totalsRowDxfId="610">
      <totalsRowFormula>COUNTIF(FrequenzaDicembre[24],"N")+COUNTIF(FrequenzaDicembre[24],"G")</totalsRowFormula>
    </tableColumn>
    <tableColumn id="26" name="25" totalsRowFunction="custom" dataDxfId="609" totalsRowDxfId="608">
      <totalsRowFormula>COUNTIF(FrequenzaDicembre[25],"N")+COUNTIF(FrequenzaDicembre[25],"G")</totalsRowFormula>
    </tableColumn>
    <tableColumn id="27" name="26" totalsRowFunction="custom" dataDxfId="607" totalsRowDxfId="606">
      <totalsRowFormula>COUNTIF(FrequenzaDicembre[26],"N")+COUNTIF(FrequenzaDicembre[26],"G")</totalsRowFormula>
    </tableColumn>
    <tableColumn id="28" name="27" totalsRowFunction="custom" dataDxfId="605" totalsRowDxfId="604">
      <totalsRowFormula>COUNTIF(FrequenzaDicembre[27],"N")+COUNTIF(FrequenzaDicembre[27],"G")</totalsRowFormula>
    </tableColumn>
    <tableColumn id="29" name="28" totalsRowFunction="custom" dataDxfId="603" totalsRowDxfId="602">
      <totalsRowFormula>COUNTIF(FrequenzaDicembre[28],"N")+COUNTIF(FrequenzaDicembre[28],"G")</totalsRowFormula>
    </tableColumn>
    <tableColumn id="30" name="29" totalsRowFunction="custom" dataDxfId="601" totalsRowDxfId="600">
      <totalsRowFormula>COUNTIF(FrequenzaDicembre[29],"N")+COUNTIF(FrequenzaDicembre[29],"G")</totalsRowFormula>
    </tableColumn>
    <tableColumn id="31" name="30" totalsRowFunction="custom" totalsRowDxfId="599">
      <totalsRowFormula>COUNTIF(FrequenzaDicembre[30],"N")+COUNTIF(FrequenzaDicembre[30],"G")</totalsRowFormula>
    </tableColumn>
    <tableColumn id="32" name="31" totalsRowFunction="custom" totalsRowDxfId="598">
      <totalsRowFormula>COUNTIF(FrequenzaDicembre[31],"N")+COUNTIF(FrequenzaDicembre[31],"G")</totalsRowFormula>
    </tableColumn>
    <tableColumn id="35" name="I" totalsRowFunction="sum" dataDxfId="597" totalsRowDxfId="596"/>
    <tableColumn id="34" name="N" totalsRowFunction="sum" dataDxfId="595" totalsRowDxfId="594"/>
    <tableColumn id="37" name="G" totalsRowFunction="sum" dataDxfId="593" totalsRowDxfId="592"/>
    <tableColumn id="36" name="P" totalsRowFunction="sum" dataDxfId="591" totalsRowDxfId="590"/>
    <tableColumn id="33" name="Giorni di assenza" totalsRowFunction="sum" totalsRowDxfId="589"/>
  </tableColumns>
  <tableStyleInfo name="Employee Absence Table" showFirstColumn="0" showLastColumn="1" showRowStripes="1" showColumnStripes="1"/>
  <extLst>
    <ext xmlns:x14="http://schemas.microsoft.com/office/spreadsheetml/2009/9/main" uri="{504A1905-F514-4f6f-8877-14C23A59335A}">
      <x14:table altText="Record di frequenza agosto" altTextSummary="Tiene traccia della frequenza degli studenti, con valori quali R=In ritardo, G=Giustificato, N=Non giustificato, P=Presente, S=Scuola chiusa, per il mese di dicembre."/>
    </ext>
  </extLst>
</table>
</file>

<file path=xl/tables/table7.xml><?xml version="1.0" encoding="utf-8"?>
<table xmlns="http://schemas.openxmlformats.org/spreadsheetml/2006/main" id="7" name="FrequenzaGennaio" displayName="FrequenzaGennaio" ref="B6:AM12" totalsRowCount="1" headerRowDxfId="583" totalsRowDxfId="582">
  <tableColumns count="38">
    <tableColumn id="38" name="ID studente" dataDxfId="581" totalsRowDxfId="580"/>
    <tableColumn id="1" name="Nome studente" totalsRowLabel="Totale giorni di assenza" dataDxfId="579" totalsRowDxfId="578">
      <calculatedColumnFormula>IFERROR(VLOOKUP(FrequenzaGennaio[[#This Row],[ID studente]],ElencoStudenti[],18,FALSE),"")</calculatedColumnFormula>
    </tableColumn>
    <tableColumn id="2" name="1" totalsRowFunction="custom" dataDxfId="577" totalsRowDxfId="576">
      <totalsRowFormula>COUNTIF(FrequenzaGennaio[1],"N")+COUNTIF(FrequenzaGennaio[1],"G")</totalsRowFormula>
    </tableColumn>
    <tableColumn id="3" name="2" totalsRowFunction="custom" dataDxfId="575" totalsRowDxfId="574">
      <totalsRowFormula>COUNTIF(FrequenzaGennaio[2],"N")+COUNTIF(FrequenzaGennaio[2],"G")</totalsRowFormula>
    </tableColumn>
    <tableColumn id="4" name="3" totalsRowFunction="custom" dataDxfId="573" totalsRowDxfId="572">
      <totalsRowFormula>COUNTIF(FrequenzaGennaio[3],"N")+COUNTIF(FrequenzaGennaio[3],"G")</totalsRowFormula>
    </tableColumn>
    <tableColumn id="5" name="4" totalsRowFunction="custom" dataDxfId="571" totalsRowDxfId="570">
      <totalsRowFormula>COUNTIF(FrequenzaGennaio[4],"N")+COUNTIF(FrequenzaGennaio[4],"G")</totalsRowFormula>
    </tableColumn>
    <tableColumn id="6" name="5" totalsRowFunction="custom" dataDxfId="569" totalsRowDxfId="568">
      <totalsRowFormula>COUNTIF(FrequenzaGennaio[5],"N")+COUNTIF(FrequenzaGennaio[5],"G")</totalsRowFormula>
    </tableColumn>
    <tableColumn id="7" name="6" totalsRowFunction="custom" dataDxfId="567" totalsRowDxfId="566">
      <totalsRowFormula>COUNTIF(FrequenzaGennaio[6],"N")+COUNTIF(FrequenzaGennaio[6],"G")</totalsRowFormula>
    </tableColumn>
    <tableColumn id="8" name="7" totalsRowFunction="custom" dataDxfId="565" totalsRowDxfId="564">
      <totalsRowFormula>COUNTIF(FrequenzaGennaio[7],"N")+COUNTIF(FrequenzaGennaio[7],"G")</totalsRowFormula>
    </tableColumn>
    <tableColumn id="9" name="8" totalsRowFunction="custom" dataDxfId="563" totalsRowDxfId="562">
      <totalsRowFormula>COUNTIF(FrequenzaGennaio[8],"N")+COUNTIF(FrequenzaGennaio[8],"G")</totalsRowFormula>
    </tableColumn>
    <tableColumn id="10" name="9" totalsRowFunction="custom" dataDxfId="561" totalsRowDxfId="560">
      <totalsRowFormula>COUNTIF(FrequenzaGennaio[9],"N")+COUNTIF(FrequenzaGennaio[9],"G")</totalsRowFormula>
    </tableColumn>
    <tableColumn id="11" name="10" totalsRowFunction="custom" dataDxfId="559" totalsRowDxfId="558">
      <totalsRowFormula>COUNTIF(FrequenzaGennaio[10],"N")+COUNTIF(FrequenzaGennaio[10],"G")</totalsRowFormula>
    </tableColumn>
    <tableColumn id="12" name="11" totalsRowFunction="custom" dataDxfId="557" totalsRowDxfId="556">
      <totalsRowFormula>COUNTIF(FrequenzaGennaio[11],"N")+COUNTIF(FrequenzaGennaio[11],"G")</totalsRowFormula>
    </tableColumn>
    <tableColumn id="13" name="12" totalsRowFunction="custom" dataDxfId="555" totalsRowDxfId="554">
      <totalsRowFormula>COUNTIF(FrequenzaGennaio[12],"N")+COUNTIF(FrequenzaGennaio[12],"G")</totalsRowFormula>
    </tableColumn>
    <tableColumn id="14" name="13" totalsRowFunction="custom" dataDxfId="553" totalsRowDxfId="552">
      <totalsRowFormula>COUNTIF(FrequenzaGennaio[13],"N")+COUNTIF(FrequenzaGennaio[13],"G")</totalsRowFormula>
    </tableColumn>
    <tableColumn id="15" name="14" totalsRowFunction="custom" dataDxfId="551" totalsRowDxfId="550">
      <totalsRowFormula>COUNTIF(FrequenzaGennaio[14],"N")+COUNTIF(FrequenzaGennaio[14],"G")</totalsRowFormula>
    </tableColumn>
    <tableColumn id="16" name="15" totalsRowFunction="custom" dataDxfId="549" totalsRowDxfId="548">
      <totalsRowFormula>COUNTIF(FrequenzaGennaio[15],"N")+COUNTIF(FrequenzaGennaio[15],"G")</totalsRowFormula>
    </tableColumn>
    <tableColumn id="17" name="16" totalsRowFunction="custom" dataDxfId="547" totalsRowDxfId="546">
      <totalsRowFormula>COUNTIF(FrequenzaGennaio[16],"N")+COUNTIF(FrequenzaGennaio[16],"G")</totalsRowFormula>
    </tableColumn>
    <tableColumn id="18" name="17" totalsRowFunction="custom" dataDxfId="545" totalsRowDxfId="544">
      <totalsRowFormula>COUNTIF(FrequenzaGennaio[17],"N")+COUNTIF(FrequenzaGennaio[17],"G")</totalsRowFormula>
    </tableColumn>
    <tableColumn id="19" name="18" totalsRowFunction="custom" dataDxfId="543" totalsRowDxfId="542">
      <totalsRowFormula>COUNTIF(FrequenzaGennaio[18],"N")+COUNTIF(FrequenzaGennaio[18],"G")</totalsRowFormula>
    </tableColumn>
    <tableColumn id="20" name="19" totalsRowFunction="custom" dataDxfId="541" totalsRowDxfId="540">
      <totalsRowFormula>COUNTIF(FrequenzaGennaio[19],"N")+COUNTIF(FrequenzaGennaio[19],"G")</totalsRowFormula>
    </tableColumn>
    <tableColumn id="21" name="20" totalsRowFunction="custom" dataDxfId="539" totalsRowDxfId="538">
      <totalsRowFormula>COUNTIF(FrequenzaGennaio[20],"N")+COUNTIF(FrequenzaGennaio[20],"G")</totalsRowFormula>
    </tableColumn>
    <tableColumn id="22" name="21" totalsRowFunction="custom" dataDxfId="537" totalsRowDxfId="536">
      <totalsRowFormula>COUNTIF(FrequenzaGennaio[21],"N")+COUNTIF(FrequenzaGennaio[21],"G")</totalsRowFormula>
    </tableColumn>
    <tableColumn id="23" name="22" totalsRowFunction="custom" dataDxfId="535" totalsRowDxfId="534">
      <totalsRowFormula>COUNTIF(FrequenzaGennaio[22],"N")+COUNTIF(FrequenzaGennaio[22],"G")</totalsRowFormula>
    </tableColumn>
    <tableColumn id="24" name="23" totalsRowFunction="custom" dataDxfId="533" totalsRowDxfId="532">
      <totalsRowFormula>COUNTIF(FrequenzaGennaio[23],"N")+COUNTIF(FrequenzaGennaio[23],"G")</totalsRowFormula>
    </tableColumn>
    <tableColumn id="25" name="24" totalsRowFunction="custom" dataDxfId="531" totalsRowDxfId="530">
      <totalsRowFormula>COUNTIF(FrequenzaGennaio[24],"N")+COUNTIF(FrequenzaGennaio[24],"G")</totalsRowFormula>
    </tableColumn>
    <tableColumn id="26" name="25" totalsRowFunction="custom" dataDxfId="529" totalsRowDxfId="528">
      <totalsRowFormula>COUNTIF(FrequenzaGennaio[25],"N")+COUNTIF(FrequenzaGennaio[25],"G")</totalsRowFormula>
    </tableColumn>
    <tableColumn id="27" name="26" totalsRowFunction="custom" dataDxfId="527" totalsRowDxfId="526">
      <totalsRowFormula>COUNTIF(FrequenzaGennaio[26],"N")+COUNTIF(FrequenzaGennaio[26],"G")</totalsRowFormula>
    </tableColumn>
    <tableColumn id="28" name="27" totalsRowFunction="custom" dataDxfId="525" totalsRowDxfId="524">
      <totalsRowFormula>COUNTIF(FrequenzaGennaio[27],"N")+COUNTIF(FrequenzaGennaio[27],"G")</totalsRowFormula>
    </tableColumn>
    <tableColumn id="29" name="28" totalsRowFunction="custom" dataDxfId="523" totalsRowDxfId="522">
      <totalsRowFormula>COUNTIF(FrequenzaGennaio[28],"N")+COUNTIF(FrequenzaGennaio[28],"G")</totalsRowFormula>
    </tableColumn>
    <tableColumn id="30" name="29" totalsRowFunction="custom" dataDxfId="521" totalsRowDxfId="520">
      <totalsRowFormula>COUNTIF(FrequenzaGennaio[29],"N")+COUNTIF(FrequenzaGennaio[29],"G")</totalsRowFormula>
    </tableColumn>
    <tableColumn id="31" name="30" totalsRowFunction="custom" dataDxfId="519" totalsRowDxfId="518">
      <totalsRowFormula>COUNTIF(FrequenzaGennaio[30],"N")+COUNTIF(FrequenzaGennaio[30],"G")</totalsRowFormula>
    </tableColumn>
    <tableColumn id="32" name="31" totalsRowFunction="custom" dataDxfId="517" totalsRowDxfId="516">
      <totalsRowFormula>COUNTIF(FrequenzaGennaio[31],"N")+COUNTIF(FrequenzaGennaio[31],"G")</totalsRowFormula>
    </tableColumn>
    <tableColumn id="35" name="I" totalsRowFunction="sum" dataDxfId="515" totalsRowDxfId="514"/>
    <tableColumn id="34" name="N" totalsRowFunction="sum" dataDxfId="513" totalsRowDxfId="512"/>
    <tableColumn id="37" name="G" totalsRowFunction="sum" dataDxfId="511" totalsRowDxfId="510"/>
    <tableColumn id="36" name="P" totalsRowFunction="sum" dataDxfId="509" totalsRowDxfId="508"/>
    <tableColumn id="33" name="Giorni di assenza" totalsRowFunction="sum" dataDxfId="507" totalsRowDxfId="506"/>
  </tableColumns>
  <tableStyleInfo name="Employee Absence Table" showFirstColumn="0" showLastColumn="0" showRowStripes="1" showColumnStripes="1"/>
  <extLst>
    <ext xmlns:x14="http://schemas.microsoft.com/office/spreadsheetml/2009/9/main" uri="{504A1905-F514-4f6f-8877-14C23A59335A}">
      <x14:table altText="Record di frequenza febbraio" altTextSummary="Tiene traccia della frequenza degli studenti, con valori quali R=In ritardo, G=Giustificato, N=Non giustificato, P=Presente, S=Scuola chiusa, per il mese di gennaio."/>
    </ext>
  </extLst>
</table>
</file>

<file path=xl/tables/table8.xml><?xml version="1.0" encoding="utf-8"?>
<table xmlns="http://schemas.openxmlformats.org/spreadsheetml/2006/main" id="5" name="FrequenzaFebbraio" displayName="FrequenzaFebbraio" ref="B6:AM12" totalsRowCount="1" headerRowDxfId="498" totalsRowDxfId="497">
  <tableColumns count="38">
    <tableColumn id="38" name="ID studente" dataDxfId="496" totalsRowDxfId="495"/>
    <tableColumn id="1" name="Nome studente" totalsRowLabel="Totale giorni di assenza" dataDxfId="494" totalsRowDxfId="493">
      <calculatedColumnFormula>IFERROR(VLOOKUP(FrequenzaFebbraio[[#This Row],[ID studente]],ElencoStudenti[],18,FALSE),"")</calculatedColumnFormula>
    </tableColumn>
    <tableColumn id="2" name="1" totalsRowFunction="custom" dataDxfId="492" totalsRowDxfId="491">
      <totalsRowFormula>COUNTIF(FrequenzaFebbraio[1],"N")+COUNTIF(FrequenzaFebbraio[1],"G")</totalsRowFormula>
    </tableColumn>
    <tableColumn id="3" name="2" totalsRowFunction="custom" dataDxfId="490" totalsRowDxfId="489">
      <totalsRowFormula>COUNTIF(FrequenzaFebbraio[2],"N")+COUNTIF(FrequenzaFebbraio[2],"G")</totalsRowFormula>
    </tableColumn>
    <tableColumn id="4" name="3" totalsRowFunction="custom" dataDxfId="488" totalsRowDxfId="487">
      <totalsRowFormula>COUNTIF(FrequenzaFebbraio[3],"N")+COUNTIF(FrequenzaFebbraio[3],"G")</totalsRowFormula>
    </tableColumn>
    <tableColumn id="5" name="4" totalsRowFunction="custom" dataDxfId="486" totalsRowDxfId="485">
      <totalsRowFormula>COUNTIF(FrequenzaFebbraio[4],"N")+COUNTIF(FrequenzaFebbraio[4],"G")</totalsRowFormula>
    </tableColumn>
    <tableColumn id="6" name="5" totalsRowFunction="custom" dataDxfId="484" totalsRowDxfId="483">
      <totalsRowFormula>COUNTIF(FrequenzaFebbraio[5],"N")+COUNTIF(FrequenzaFebbraio[5],"G")</totalsRowFormula>
    </tableColumn>
    <tableColumn id="7" name="6" totalsRowFunction="custom" dataDxfId="482" totalsRowDxfId="481">
      <totalsRowFormula>COUNTIF(FrequenzaFebbraio[6],"N")+COUNTIF(FrequenzaFebbraio[6],"G")</totalsRowFormula>
    </tableColumn>
    <tableColumn id="8" name="7" totalsRowFunction="custom" dataDxfId="480" totalsRowDxfId="479">
      <totalsRowFormula>COUNTIF(FrequenzaFebbraio[7],"N")+COUNTIF(FrequenzaFebbraio[7],"G")</totalsRowFormula>
    </tableColumn>
    <tableColumn id="9" name="8" totalsRowFunction="custom" dataDxfId="478" totalsRowDxfId="477">
      <totalsRowFormula>COUNTIF(FrequenzaFebbraio[8],"N")+COUNTIF(FrequenzaFebbraio[8],"G")</totalsRowFormula>
    </tableColumn>
    <tableColumn id="10" name="9" totalsRowFunction="custom" dataDxfId="476" totalsRowDxfId="475">
      <totalsRowFormula>COUNTIF(FrequenzaFebbraio[9],"N")+COUNTIF(FrequenzaFebbraio[9],"G")</totalsRowFormula>
    </tableColumn>
    <tableColumn id="11" name="10" totalsRowFunction="custom" dataDxfId="474" totalsRowDxfId="473">
      <totalsRowFormula>COUNTIF(FrequenzaFebbraio[10],"N")+COUNTIF(FrequenzaFebbraio[10],"G")</totalsRowFormula>
    </tableColumn>
    <tableColumn id="12" name="11" totalsRowFunction="custom" dataDxfId="472" totalsRowDxfId="471">
      <totalsRowFormula>COUNTIF(FrequenzaFebbraio[11],"N")+COUNTIF(FrequenzaFebbraio[11],"G")</totalsRowFormula>
    </tableColumn>
    <tableColumn id="13" name="12" totalsRowFunction="custom" dataDxfId="470" totalsRowDxfId="469">
      <totalsRowFormula>COUNTIF(FrequenzaFebbraio[12],"N")+COUNTIF(FrequenzaFebbraio[12],"G")</totalsRowFormula>
    </tableColumn>
    <tableColumn id="14" name="13" totalsRowFunction="custom" dataDxfId="468" totalsRowDxfId="467">
      <totalsRowFormula>COUNTIF(FrequenzaFebbraio[13],"N")+COUNTIF(FrequenzaFebbraio[13],"G")</totalsRowFormula>
    </tableColumn>
    <tableColumn id="15" name="14" totalsRowFunction="custom" dataDxfId="466" totalsRowDxfId="465">
      <totalsRowFormula>COUNTIF(FrequenzaFebbraio[14],"N")+COUNTIF(FrequenzaFebbraio[14],"G")</totalsRowFormula>
    </tableColumn>
    <tableColumn id="16" name="15" totalsRowFunction="custom" dataDxfId="464" totalsRowDxfId="463">
      <totalsRowFormula>COUNTIF(FrequenzaFebbraio[15],"N")+COUNTIF(FrequenzaFebbraio[15],"G")</totalsRowFormula>
    </tableColumn>
    <tableColumn id="17" name="16" totalsRowFunction="custom" dataDxfId="462" totalsRowDxfId="461">
      <totalsRowFormula>COUNTIF(FrequenzaFebbraio[16],"N")+COUNTIF(FrequenzaFebbraio[16],"G")</totalsRowFormula>
    </tableColumn>
    <tableColumn id="18" name="17" totalsRowFunction="custom" dataDxfId="460" totalsRowDxfId="459">
      <totalsRowFormula>COUNTIF(FrequenzaFebbraio[17],"N")+COUNTIF(FrequenzaFebbraio[17],"G")</totalsRowFormula>
    </tableColumn>
    <tableColumn id="19" name="18" totalsRowFunction="custom" dataDxfId="458" totalsRowDxfId="457">
      <totalsRowFormula>COUNTIF(FrequenzaFebbraio[18],"N")+COUNTIF(FrequenzaFebbraio[18],"G")</totalsRowFormula>
    </tableColumn>
    <tableColumn id="20" name="19" totalsRowFunction="custom" dataDxfId="456" totalsRowDxfId="455">
      <totalsRowFormula>COUNTIF(FrequenzaFebbraio[19],"N")+COUNTIF(FrequenzaFebbraio[19],"G")</totalsRowFormula>
    </tableColumn>
    <tableColumn id="21" name="20" totalsRowFunction="custom" dataDxfId="454" totalsRowDxfId="453">
      <totalsRowFormula>COUNTIF(FrequenzaFebbraio[20],"N")+COUNTIF(FrequenzaFebbraio[20],"G")</totalsRowFormula>
    </tableColumn>
    <tableColumn id="22" name="21" totalsRowFunction="custom" dataDxfId="452" totalsRowDxfId="451">
      <totalsRowFormula>COUNTIF(FrequenzaFebbraio[21],"N")+COUNTIF(FrequenzaFebbraio[21],"G")</totalsRowFormula>
    </tableColumn>
    <tableColumn id="23" name="22" totalsRowFunction="custom" dataDxfId="450" totalsRowDxfId="449">
      <totalsRowFormula>COUNTIF(FrequenzaFebbraio[22],"N")+COUNTIF(FrequenzaFebbraio[22],"G")</totalsRowFormula>
    </tableColumn>
    <tableColumn id="24" name="23" totalsRowFunction="custom" dataDxfId="448" totalsRowDxfId="447">
      <totalsRowFormula>COUNTIF(FrequenzaFebbraio[23],"N")+COUNTIF(FrequenzaFebbraio[23],"G")</totalsRowFormula>
    </tableColumn>
    <tableColumn id="25" name="24" totalsRowFunction="custom" dataDxfId="446" totalsRowDxfId="445">
      <totalsRowFormula>COUNTIF(FrequenzaFebbraio[24],"N")+COUNTIF(FrequenzaFebbraio[24],"G")</totalsRowFormula>
    </tableColumn>
    <tableColumn id="26" name="25" totalsRowFunction="custom" dataDxfId="444" totalsRowDxfId="443">
      <totalsRowFormula>COUNTIF(FrequenzaFebbraio[25],"N")+COUNTIF(FrequenzaFebbraio[25],"G")</totalsRowFormula>
    </tableColumn>
    <tableColumn id="27" name="26" totalsRowFunction="custom" dataDxfId="442" totalsRowDxfId="441">
      <totalsRowFormula>COUNTIF(FrequenzaFebbraio[26],"N")+COUNTIF(FrequenzaFebbraio[26],"G")</totalsRowFormula>
    </tableColumn>
    <tableColumn id="28" name="27" totalsRowFunction="custom" dataDxfId="440" totalsRowDxfId="439">
      <totalsRowFormula>COUNTIF(FrequenzaFebbraio[27],"N")+COUNTIF(FrequenzaFebbraio[27],"G")</totalsRowFormula>
    </tableColumn>
    <tableColumn id="29" name="28" totalsRowFunction="custom" dataDxfId="438" totalsRowDxfId="437">
      <totalsRowFormula>COUNTIF(FrequenzaFebbraio[28],"N")+COUNTIF(FrequenzaFebbraio[28],"G")</totalsRowFormula>
    </tableColumn>
    <tableColumn id="30" name="29" dataDxfId="436" totalsRowDxfId="435"/>
    <tableColumn id="31" name="30" dataDxfId="434" totalsRowDxfId="433"/>
    <tableColumn id="32" name="31" dataDxfId="432" totalsRowDxfId="431"/>
    <tableColumn id="35" name="I" totalsRowFunction="sum" dataDxfId="430" totalsRowDxfId="429"/>
    <tableColumn id="34" name="N" totalsRowFunction="sum" dataDxfId="428" totalsRowDxfId="427"/>
    <tableColumn id="37" name="G" totalsRowFunction="sum" dataDxfId="426" totalsRowDxfId="425"/>
    <tableColumn id="36" name="P" totalsRowFunction="sum" dataDxfId="424" totalsRowDxfId="423"/>
    <tableColumn id="33" name="Giorni di assenza" totalsRowFunction="sum" dataDxfId="422" totalsRowDxfId="421"/>
  </tableColumns>
  <tableStyleInfo name="Employee Absence Table" showFirstColumn="0" showLastColumn="0" showRowStripes="1" showColumnStripes="1"/>
  <extLst>
    <ext xmlns:x14="http://schemas.microsoft.com/office/spreadsheetml/2009/9/main" uri="{504A1905-F514-4f6f-8877-14C23A59335A}">
      <x14:table altText="Record di frequenza febbraio" altTextSummary="Tiene traccia della frequenza degli studenti, con valori quali R=In ritardo, G=Giustificato, N=Non giustificato, P=Presente, S=Scuola chiusa, per il mese di febbraio."/>
    </ext>
  </extLst>
</table>
</file>

<file path=xl/tables/table9.xml><?xml version="1.0" encoding="utf-8"?>
<table xmlns="http://schemas.openxmlformats.org/spreadsheetml/2006/main" id="8" name="FrequenzaMarzo" displayName="FrequenzaMarzo" ref="B6:AM12" totalsRowCount="1" headerRowDxfId="415" totalsRowDxfId="414">
  <tableColumns count="38">
    <tableColumn id="38" name="ID studente" dataDxfId="413" totalsRowDxfId="412"/>
    <tableColumn id="1" name="Nome studente" totalsRowLabel="Totale giorni di assenza" dataDxfId="411" totalsRowDxfId="410">
      <calculatedColumnFormula>IFERROR(VLOOKUP(FrequenzaMarzo[[#This Row],[ID studente]],ElencoStudenti[],18,FALSE),"")</calculatedColumnFormula>
    </tableColumn>
    <tableColumn id="2" name="1" totalsRowFunction="custom" dataDxfId="409" totalsRowDxfId="408">
      <totalsRowFormula>COUNTIF(FrequenzaMarzo[1],"N")+COUNTIF(FrequenzaMarzo[1],"G")</totalsRowFormula>
    </tableColumn>
    <tableColumn id="3" name="2" totalsRowFunction="custom" dataDxfId="407" totalsRowDxfId="406">
      <totalsRowFormula>COUNTIF(FrequenzaMarzo[2],"N")+COUNTIF(FrequenzaMarzo[2],"G")</totalsRowFormula>
    </tableColumn>
    <tableColumn id="4" name="3" totalsRowFunction="custom" dataDxfId="405" totalsRowDxfId="404">
      <totalsRowFormula>COUNTIF(FrequenzaMarzo[3],"N")+COUNTIF(FrequenzaMarzo[3],"G")</totalsRowFormula>
    </tableColumn>
    <tableColumn id="5" name="4" totalsRowFunction="custom" dataDxfId="403" totalsRowDxfId="402">
      <totalsRowFormula>COUNTIF(FrequenzaMarzo[4],"N")+COUNTIF(FrequenzaMarzo[4],"G")</totalsRowFormula>
    </tableColumn>
    <tableColumn id="6" name="5" totalsRowFunction="custom" dataDxfId="401" totalsRowDxfId="400">
      <totalsRowFormula>COUNTIF(FrequenzaMarzo[5],"N")+COUNTIF(FrequenzaMarzo[5],"G")</totalsRowFormula>
    </tableColumn>
    <tableColumn id="7" name="6" totalsRowFunction="custom" dataDxfId="399" totalsRowDxfId="398">
      <totalsRowFormula>COUNTIF(FrequenzaMarzo[6],"N")+COUNTIF(FrequenzaMarzo[6],"G")</totalsRowFormula>
    </tableColumn>
    <tableColumn id="8" name="7" totalsRowFunction="custom" dataDxfId="397" totalsRowDxfId="396">
      <totalsRowFormula>COUNTIF(FrequenzaMarzo[7],"N")+COUNTIF(FrequenzaMarzo[7],"G")</totalsRowFormula>
    </tableColumn>
    <tableColumn id="9" name="8" totalsRowFunction="custom" dataDxfId="395" totalsRowDxfId="394">
      <totalsRowFormula>COUNTIF(FrequenzaMarzo[8],"N")+COUNTIF(FrequenzaMarzo[8],"G")</totalsRowFormula>
    </tableColumn>
    <tableColumn id="10" name="9" totalsRowFunction="custom" dataDxfId="393" totalsRowDxfId="392">
      <totalsRowFormula>COUNTIF(FrequenzaMarzo[9],"N")+COUNTIF(FrequenzaMarzo[9],"G")</totalsRowFormula>
    </tableColumn>
    <tableColumn id="11" name="10" totalsRowFunction="custom" dataDxfId="391" totalsRowDxfId="390">
      <totalsRowFormula>COUNTIF(FrequenzaMarzo[10],"N")+COUNTIF(FrequenzaMarzo[10],"G")</totalsRowFormula>
    </tableColumn>
    <tableColumn id="12" name="11" totalsRowFunction="custom" dataDxfId="389" totalsRowDxfId="388">
      <totalsRowFormula>COUNTIF(FrequenzaMarzo[11],"N")+COUNTIF(FrequenzaMarzo[11],"G")</totalsRowFormula>
    </tableColumn>
    <tableColumn id="13" name="12" totalsRowFunction="custom" dataDxfId="387" totalsRowDxfId="386">
      <totalsRowFormula>COUNTIF(FrequenzaMarzo[12],"N")+COUNTIF(FrequenzaMarzo[12],"G")</totalsRowFormula>
    </tableColumn>
    <tableColumn id="14" name="13" totalsRowFunction="custom" dataDxfId="385" totalsRowDxfId="384">
      <totalsRowFormula>COUNTIF(FrequenzaMarzo[13],"N")+COUNTIF(FrequenzaMarzo[13],"G")</totalsRowFormula>
    </tableColumn>
    <tableColumn id="15" name="14" totalsRowFunction="custom" dataDxfId="383" totalsRowDxfId="382">
      <totalsRowFormula>COUNTIF(FrequenzaMarzo[14],"N")+COUNTIF(FrequenzaMarzo[14],"G")</totalsRowFormula>
    </tableColumn>
    <tableColumn id="16" name="15" totalsRowFunction="custom" dataDxfId="381" totalsRowDxfId="380">
      <totalsRowFormula>COUNTIF(FrequenzaMarzo[15],"N")+COUNTIF(FrequenzaMarzo[15],"G")</totalsRowFormula>
    </tableColumn>
    <tableColumn id="17" name="16" totalsRowFunction="custom" dataDxfId="379" totalsRowDxfId="378">
      <totalsRowFormula>COUNTIF(FrequenzaMarzo[16],"N")+COUNTIF(FrequenzaMarzo[16],"G")</totalsRowFormula>
    </tableColumn>
    <tableColumn id="18" name="17" totalsRowFunction="custom" dataDxfId="377" totalsRowDxfId="376">
      <totalsRowFormula>COUNTIF(FrequenzaMarzo[17],"N")+COUNTIF(FrequenzaMarzo[17],"G")</totalsRowFormula>
    </tableColumn>
    <tableColumn id="19" name="18" totalsRowFunction="custom" dataDxfId="375" totalsRowDxfId="374">
      <totalsRowFormula>COUNTIF(FrequenzaMarzo[18],"N")+COUNTIF(FrequenzaMarzo[18],"G")</totalsRowFormula>
    </tableColumn>
    <tableColumn id="20" name="19" totalsRowFunction="custom" dataDxfId="373" totalsRowDxfId="372">
      <totalsRowFormula>COUNTIF(FrequenzaMarzo[19],"N")+COUNTIF(FrequenzaMarzo[19],"G")</totalsRowFormula>
    </tableColumn>
    <tableColumn id="21" name="20" totalsRowFunction="custom" dataDxfId="371" totalsRowDxfId="370">
      <totalsRowFormula>COUNTIF(FrequenzaMarzo[20],"N")+COUNTIF(FrequenzaMarzo[20],"G")</totalsRowFormula>
    </tableColumn>
    <tableColumn id="22" name="21" totalsRowFunction="custom" dataDxfId="369" totalsRowDxfId="368">
      <totalsRowFormula>COUNTIF(FrequenzaMarzo[21],"N")+COUNTIF(FrequenzaMarzo[21],"G")</totalsRowFormula>
    </tableColumn>
    <tableColumn id="23" name="22" totalsRowFunction="custom" dataDxfId="367" totalsRowDxfId="366">
      <totalsRowFormula>COUNTIF(FrequenzaMarzo[22],"N")+COUNTIF(FrequenzaMarzo[22],"G")</totalsRowFormula>
    </tableColumn>
    <tableColumn id="24" name="23" totalsRowFunction="custom" dataDxfId="365" totalsRowDxfId="364">
      <totalsRowFormula>COUNTIF(FrequenzaMarzo[23],"N")+COUNTIF(FrequenzaMarzo[23],"G")</totalsRowFormula>
    </tableColumn>
    <tableColumn id="25" name="24" totalsRowFunction="custom" dataDxfId="363" totalsRowDxfId="362">
      <totalsRowFormula>COUNTIF(FrequenzaMarzo[24],"N")+COUNTIF(FrequenzaMarzo[24],"G")</totalsRowFormula>
    </tableColumn>
    <tableColumn id="26" name="25" totalsRowFunction="custom" dataDxfId="361" totalsRowDxfId="360">
      <totalsRowFormula>COUNTIF(FrequenzaMarzo[25],"N")+COUNTIF(FrequenzaMarzo[25],"G")</totalsRowFormula>
    </tableColumn>
    <tableColumn id="27" name="26" totalsRowFunction="custom" dataDxfId="359" totalsRowDxfId="358">
      <totalsRowFormula>COUNTIF(FrequenzaMarzo[26],"N")+COUNTIF(FrequenzaMarzo[26],"G")</totalsRowFormula>
    </tableColumn>
    <tableColumn id="28" name="27" totalsRowFunction="custom" dataDxfId="357" totalsRowDxfId="356">
      <totalsRowFormula>COUNTIF(FrequenzaMarzo[27],"N")+COUNTIF(FrequenzaMarzo[27],"G")</totalsRowFormula>
    </tableColumn>
    <tableColumn id="29" name="28" totalsRowFunction="custom" dataDxfId="355" totalsRowDxfId="354">
      <totalsRowFormula>COUNTIF(FrequenzaMarzo[28],"N")+COUNTIF(FrequenzaMarzo[28],"G")</totalsRowFormula>
    </tableColumn>
    <tableColumn id="30" name="29" totalsRowFunction="custom" dataDxfId="353" totalsRowDxfId="352">
      <totalsRowFormula>COUNTIF(FrequenzaMarzo[29],"N")+COUNTIF(FrequenzaMarzo[29],"G")</totalsRowFormula>
    </tableColumn>
    <tableColumn id="31" name="30" totalsRowFunction="custom" dataDxfId="351" totalsRowDxfId="350">
      <totalsRowFormula>COUNTIF(FrequenzaMarzo[30],"N")+COUNTIF(FrequenzaMarzo[30],"G")</totalsRowFormula>
    </tableColumn>
    <tableColumn id="32" name="31" totalsRowFunction="custom" dataDxfId="349" totalsRowDxfId="348">
      <totalsRowFormula>COUNTIF(FrequenzaMarzo[31],"N")+COUNTIF(FrequenzaMarzo[31],"G")</totalsRowFormula>
    </tableColumn>
    <tableColumn id="35" name="I" totalsRowFunction="sum" dataDxfId="347" totalsRowDxfId="346"/>
    <tableColumn id="34" name="N" totalsRowFunction="sum" dataDxfId="345" totalsRowDxfId="344"/>
    <tableColumn id="37" name="G" totalsRowFunction="sum" dataDxfId="343" totalsRowDxfId="342"/>
    <tableColumn id="36" name="P" totalsRowFunction="sum" dataDxfId="341" totalsRowDxfId="340"/>
    <tableColumn id="33" name="Giorni di assenza" totalsRowFunction="sum" dataDxfId="339" totalsRowDxfId="338"/>
  </tableColumns>
  <tableStyleInfo name="Employee Absence Table" showFirstColumn="0" showLastColumn="0" showRowStripes="1" showColumnStripes="1"/>
  <extLst>
    <ext xmlns:x14="http://schemas.microsoft.com/office/spreadsheetml/2009/9/main" uri="{504A1905-F514-4f6f-8877-14C23A59335A}">
      <x14:table altText="Record di frequenza febbraio" altTextSummary="Tiene traccia della frequenza degli studenti, con valori quali R=In ritardo, G=Giustificato, N=Non giustificato, P=Presente, S=Scuola chiusa, per il mese di marzo."/>
    </ext>
  </extLst>
</table>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ffice.microsoft.com/client/helppreview14.aspx?AssetId=HA010354866&amp;lcid=1040&amp;NS=EXCEL&amp;Version=14&amp;tl=2&amp;respos=0&amp;CTT=1&amp;queryid=d38d00d08c94494fb55f055eb667c2c9" TargetMode="External"/><Relationship Id="rId1" Type="http://schemas.openxmlformats.org/officeDocument/2006/relationships/hyperlink" Target="http://office.microsoft.com/client/helppreview14.aspx?AssetId=HA010354866&amp;lcid=1033&amp;NS=EXCEL&amp;Version=14&amp;tl=2&amp;respos=0&amp;CTT=1&amp;queryid=d38d00d08c94494fb55f055eb667c2c9"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32"/>
  <sheetViews>
    <sheetView showGridLines="0" topLeftCell="A19" workbookViewId="0"/>
  </sheetViews>
  <sheetFormatPr defaultRowHeight="13.5"/>
  <cols>
    <col min="1" max="3" width="3.28515625" customWidth="1"/>
    <col min="4" max="4" width="3.85546875" customWidth="1"/>
    <col min="12" max="12" width="28.42578125" customWidth="1"/>
    <col min="13" max="13" width="3.28515625" hidden="1" customWidth="1"/>
    <col min="14" max="14" width="3.28515625" customWidth="1"/>
  </cols>
  <sheetData>
    <row r="1" spans="1:16" ht="42" customHeight="1">
      <c r="A1" s="84" t="s">
        <v>116</v>
      </c>
      <c r="B1" s="84"/>
      <c r="C1" s="84"/>
      <c r="D1" s="84"/>
      <c r="E1" s="41"/>
      <c r="F1" s="41"/>
      <c r="G1" s="41"/>
      <c r="H1" s="41"/>
      <c r="I1" s="41"/>
      <c r="J1" s="41"/>
      <c r="K1" s="41"/>
      <c r="L1" s="41"/>
      <c r="M1" s="41"/>
      <c r="N1" s="41"/>
      <c r="O1" s="92"/>
      <c r="P1" s="92"/>
    </row>
    <row r="2" spans="1:16" ht="6.75" customHeight="1"/>
    <row r="3" spans="1:16" ht="17.25">
      <c r="B3" s="85" t="s">
        <v>103</v>
      </c>
      <c r="C3" s="85"/>
      <c r="D3" s="85"/>
      <c r="E3" s="85"/>
      <c r="F3" s="85"/>
    </row>
    <row r="4" spans="1:16" ht="28.5" customHeight="1">
      <c r="C4" s="125" t="s">
        <v>107</v>
      </c>
      <c r="D4" s="125"/>
      <c r="E4" s="125"/>
      <c r="F4" s="125"/>
      <c r="G4" s="125"/>
      <c r="H4" s="125"/>
      <c r="I4" s="125"/>
      <c r="J4" s="125"/>
      <c r="K4" s="125"/>
      <c r="L4" s="125"/>
      <c r="M4" s="125"/>
    </row>
    <row r="5" spans="1:16" ht="85.5" customHeight="1">
      <c r="D5" s="91" t="s">
        <v>99</v>
      </c>
      <c r="E5" s="126" t="s">
        <v>124</v>
      </c>
      <c r="F5" s="126"/>
      <c r="G5" s="126"/>
      <c r="H5" s="126"/>
      <c r="I5" s="126"/>
      <c r="J5" s="126"/>
      <c r="K5" s="126"/>
      <c r="L5" s="126"/>
      <c r="M5" s="126"/>
      <c r="N5" s="86"/>
    </row>
    <row r="6" spans="1:16" ht="61.5" customHeight="1">
      <c r="C6" s="86"/>
      <c r="D6" s="91" t="s">
        <v>100</v>
      </c>
      <c r="E6" s="126" t="s">
        <v>122</v>
      </c>
      <c r="F6" s="126"/>
      <c r="G6" s="126"/>
      <c r="H6" s="126"/>
      <c r="I6" s="126"/>
      <c r="J6" s="126"/>
      <c r="K6" s="126"/>
      <c r="L6" s="126"/>
      <c r="M6" s="126"/>
      <c r="N6" s="86"/>
    </row>
    <row r="7" spans="1:16" ht="84.75" customHeight="1">
      <c r="C7" s="86"/>
      <c r="D7" s="91" t="s">
        <v>101</v>
      </c>
      <c r="E7" s="126" t="s">
        <v>120</v>
      </c>
      <c r="F7" s="126"/>
      <c r="G7" s="126"/>
      <c r="H7" s="126"/>
      <c r="I7" s="126"/>
      <c r="J7" s="126"/>
      <c r="K7" s="126"/>
      <c r="L7" s="126"/>
      <c r="M7" s="126"/>
      <c r="N7" s="86"/>
    </row>
    <row r="8" spans="1:16" ht="55.5" customHeight="1">
      <c r="C8" s="86"/>
      <c r="D8" s="91"/>
      <c r="E8" s="127" t="s">
        <v>123</v>
      </c>
      <c r="F8" s="127"/>
      <c r="G8" s="127"/>
      <c r="H8" s="127"/>
      <c r="I8" s="127"/>
      <c r="J8" s="127"/>
      <c r="K8" s="127"/>
      <c r="L8" s="127"/>
      <c r="M8" s="127"/>
      <c r="N8" s="86"/>
    </row>
    <row r="9" spans="1:16" ht="16.5" customHeight="1">
      <c r="E9" s="128" t="s">
        <v>117</v>
      </c>
      <c r="F9" s="128"/>
      <c r="G9" s="128"/>
      <c r="H9" s="128"/>
    </row>
    <row r="10" spans="1:16" ht="6.75" customHeight="1"/>
    <row r="11" spans="1:16" ht="16.5" customHeight="1">
      <c r="B11" s="85" t="s">
        <v>104</v>
      </c>
      <c r="C11" s="85"/>
      <c r="D11" s="85"/>
      <c r="E11" s="85"/>
      <c r="F11" s="85"/>
      <c r="G11" s="85"/>
      <c r="H11" s="85"/>
      <c r="I11" s="85"/>
    </row>
    <row r="12" spans="1:16" s="87" customFormat="1" ht="35.25" customHeight="1">
      <c r="C12" s="125" t="s">
        <v>102</v>
      </c>
      <c r="D12" s="125"/>
      <c r="E12" s="125"/>
      <c r="F12" s="125"/>
      <c r="G12" s="125"/>
      <c r="H12" s="125"/>
      <c r="I12" s="125"/>
      <c r="J12" s="125"/>
      <c r="K12" s="125"/>
      <c r="L12" s="125"/>
      <c r="M12" s="125"/>
    </row>
    <row r="13" spans="1:16" ht="47.25" customHeight="1">
      <c r="D13" s="91" t="s">
        <v>99</v>
      </c>
      <c r="E13" s="126" t="s">
        <v>118</v>
      </c>
      <c r="F13" s="126"/>
      <c r="G13" s="126"/>
      <c r="H13" s="126"/>
      <c r="I13" s="126"/>
      <c r="J13" s="126"/>
      <c r="K13" s="126"/>
      <c r="L13" s="126"/>
      <c r="M13" s="126"/>
      <c r="N13" s="86"/>
      <c r="O13" s="86"/>
    </row>
    <row r="14" spans="1:16" ht="47.25" customHeight="1">
      <c r="D14" s="91"/>
      <c r="E14" s="126" t="s">
        <v>121</v>
      </c>
      <c r="F14" s="126"/>
      <c r="G14" s="126"/>
      <c r="H14" s="126"/>
      <c r="I14" s="126"/>
      <c r="J14" s="126"/>
      <c r="K14" s="126"/>
      <c r="L14" s="126"/>
      <c r="M14" s="126"/>
      <c r="N14" s="96"/>
      <c r="O14" s="96"/>
    </row>
    <row r="15" spans="1:16" s="88" customFormat="1" ht="57.75" customHeight="1">
      <c r="D15" s="91" t="s">
        <v>100</v>
      </c>
      <c r="E15" s="126" t="s">
        <v>111</v>
      </c>
      <c r="F15" s="126"/>
      <c r="G15" s="126"/>
      <c r="H15" s="126"/>
      <c r="I15" s="126"/>
      <c r="J15" s="126"/>
      <c r="K15" s="126"/>
      <c r="L15" s="126"/>
      <c r="M15" s="126"/>
      <c r="N15" s="89"/>
      <c r="O15" s="89"/>
    </row>
    <row r="16" spans="1:16" ht="6.75" customHeight="1"/>
    <row r="17" spans="2:13" ht="17.25">
      <c r="B17" s="85" t="s">
        <v>105</v>
      </c>
      <c r="C17" s="85"/>
      <c r="D17" s="85"/>
      <c r="E17" s="85"/>
      <c r="F17" s="85"/>
      <c r="G17" s="85"/>
      <c r="H17" s="85"/>
      <c r="I17" s="85"/>
      <c r="J17" s="85"/>
    </row>
    <row r="18" spans="2:13" ht="30.75" customHeight="1">
      <c r="B18" s="87"/>
      <c r="C18" s="125" t="s">
        <v>125</v>
      </c>
      <c r="D18" s="125"/>
      <c r="E18" s="125"/>
      <c r="F18" s="125"/>
      <c r="G18" s="125"/>
      <c r="H18" s="125"/>
      <c r="I18" s="125"/>
      <c r="J18" s="125"/>
      <c r="K18" s="125"/>
      <c r="L18" s="125"/>
      <c r="M18" s="125"/>
    </row>
    <row r="19" spans="2:13" ht="34.5" customHeight="1">
      <c r="B19" s="87"/>
      <c r="C19" s="93"/>
      <c r="D19" s="88" t="s">
        <v>98</v>
      </c>
      <c r="E19" s="125" t="s">
        <v>126</v>
      </c>
      <c r="F19" s="125"/>
      <c r="G19" s="125"/>
      <c r="H19" s="125"/>
      <c r="I19" s="125"/>
      <c r="J19" s="125"/>
      <c r="K19" s="125"/>
      <c r="L19" s="125"/>
      <c r="M19" s="125"/>
    </row>
    <row r="20" spans="2:13" s="88" customFormat="1" ht="34.5" customHeight="1">
      <c r="D20" s="88" t="s">
        <v>98</v>
      </c>
      <c r="E20" s="126" t="s">
        <v>109</v>
      </c>
      <c r="F20" s="126"/>
      <c r="G20" s="126"/>
      <c r="H20" s="126"/>
      <c r="I20" s="126"/>
      <c r="J20" s="126"/>
      <c r="K20" s="126"/>
      <c r="L20" s="126"/>
      <c r="M20" s="126"/>
    </row>
    <row r="21" spans="2:13" s="88" customFormat="1" ht="34.5" customHeight="1">
      <c r="D21" s="88" t="s">
        <v>98</v>
      </c>
      <c r="E21" s="126" t="s">
        <v>119</v>
      </c>
      <c r="F21" s="126"/>
      <c r="G21" s="126"/>
      <c r="H21" s="126"/>
      <c r="I21" s="126"/>
      <c r="J21" s="126"/>
      <c r="K21" s="126"/>
      <c r="L21" s="126"/>
      <c r="M21" s="126"/>
    </row>
    <row r="22" spans="2:13" s="88" customFormat="1" ht="29.25" customHeight="1">
      <c r="D22" s="88" t="s">
        <v>98</v>
      </c>
      <c r="E22" s="126" t="s">
        <v>110</v>
      </c>
      <c r="F22" s="126"/>
      <c r="G22" s="126"/>
      <c r="H22" s="126"/>
      <c r="I22" s="126"/>
      <c r="J22" s="126"/>
      <c r="K22" s="126"/>
      <c r="L22" s="126"/>
      <c r="M22" s="126"/>
    </row>
    <row r="23" spans="2:13" ht="6.75" customHeight="1"/>
    <row r="24" spans="2:13" s="88" customFormat="1" ht="16.5" customHeight="1">
      <c r="B24" s="94" t="s">
        <v>106</v>
      </c>
      <c r="C24" s="94"/>
      <c r="D24" s="94"/>
      <c r="E24" s="94"/>
      <c r="F24" s="94"/>
      <c r="G24" s="94"/>
      <c r="H24" s="94"/>
      <c r="I24" s="94"/>
      <c r="J24" s="94"/>
      <c r="K24" s="94"/>
    </row>
    <row r="25" spans="2:13" s="88" customFormat="1" ht="96" customHeight="1">
      <c r="C25" s="125" t="s">
        <v>127</v>
      </c>
      <c r="D25" s="125"/>
      <c r="E25" s="125"/>
      <c r="F25" s="125"/>
      <c r="G25" s="125"/>
      <c r="H25" s="125"/>
      <c r="I25" s="125"/>
      <c r="J25" s="125"/>
      <c r="K25" s="125"/>
      <c r="L25" s="125"/>
      <c r="M25" s="125"/>
    </row>
    <row r="26" spans="2:13" s="88" customFormat="1" ht="16.5" customHeight="1"/>
    <row r="27" spans="2:13" s="88" customFormat="1" ht="16.5" customHeight="1"/>
    <row r="28" spans="2:13" s="88" customFormat="1" ht="16.5" customHeight="1"/>
    <row r="29" spans="2:13" s="88" customFormat="1" ht="16.5" customHeight="1"/>
    <row r="30" spans="2:13" s="88" customFormat="1" ht="16.5" customHeight="1"/>
    <row r="31" spans="2:13" s="88" customFormat="1" ht="16.5" customHeight="1"/>
    <row r="32" spans="2:13" ht="16.5" customHeight="1"/>
  </sheetData>
  <mergeCells count="16">
    <mergeCell ref="E22:M22"/>
    <mergeCell ref="C25:M25"/>
    <mergeCell ref="E13:M13"/>
    <mergeCell ref="E15:M15"/>
    <mergeCell ref="C18:M18"/>
    <mergeCell ref="E19:M19"/>
    <mergeCell ref="E20:M20"/>
    <mergeCell ref="E21:M21"/>
    <mergeCell ref="E14:M14"/>
    <mergeCell ref="C12:M12"/>
    <mergeCell ref="C4:M4"/>
    <mergeCell ref="E5:M5"/>
    <mergeCell ref="E6:M6"/>
    <mergeCell ref="E7:M7"/>
    <mergeCell ref="E8:M8"/>
    <mergeCell ref="E9:H9"/>
  </mergeCells>
  <phoneticPr fontId="44" type="noConversion"/>
  <hyperlinks>
    <hyperlink ref="E9:F9" r:id="rId1" location="_Toc261352312" display="Customize a document theme."/>
    <hyperlink ref="E9:H9" r:id="rId2" location="_Toc261352312" display="Personalizzare un tema del documento."/>
  </hyperlinks>
  <printOptions horizontalCentered="1"/>
  <pageMargins left="0.25" right="0.25" top="0.75" bottom="0.75" header="0.3" footer="0.3"/>
  <pageSetup scale="76" orientation="portrait" r:id="rId3"/>
  <ignoredErrors>
    <ignoredError sqref="D15 D5:D7 D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M263"/>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12" customWidth="1"/>
    <col min="2" max="2" width="12.42578125" style="12" bestFit="1" customWidth="1"/>
    <col min="3" max="3" width="28.85546875" style="13" customWidth="1"/>
    <col min="4" max="4" width="5.140625" style="11" customWidth="1"/>
    <col min="5"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39" s="1" customFormat="1" ht="42" customHeight="1">
      <c r="A1" s="35"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f>AnnoCalendario</f>
        <v>2012</v>
      </c>
    </row>
    <row r="2" spans="1:39" customFormat="1" ht="13.5"/>
    <row r="3" spans="1:39" s="30" customFormat="1" ht="12.75" customHeight="1">
      <c r="C3" s="42" t="str">
        <f>TestoLeggendaColori</f>
        <v xml:space="preserve">LEGGENDA COLORI </v>
      </c>
      <c r="D3" s="49" t="str">
        <f>Codice1</f>
        <v>I</v>
      </c>
      <c r="E3" s="65" t="str">
        <f>TestoCodice1</f>
        <v>In ritardo</v>
      </c>
      <c r="F3" s="57"/>
      <c r="H3" s="50" t="str">
        <f>Codice2</f>
        <v>G</v>
      </c>
      <c r="I3" s="54" t="str">
        <f>TestoCodice2</f>
        <v>Giustificato</v>
      </c>
      <c r="L3" s="51" t="str">
        <f>Codice3</f>
        <v>N</v>
      </c>
      <c r="M3" s="54" t="str">
        <f>TestoCodice3</f>
        <v>Non giustificato</v>
      </c>
      <c r="P3" s="52" t="str">
        <f>Codice4</f>
        <v>P</v>
      </c>
      <c r="Q3" s="54" t="str">
        <f>TestoCodice4</f>
        <v>Presente</v>
      </c>
      <c r="T3" s="53" t="str">
        <f>Codice5</f>
        <v>S</v>
      </c>
      <c r="U3" s="54" t="str">
        <f>TestoCodice5</f>
        <v>Scuola chiusa</v>
      </c>
      <c r="W3"/>
      <c r="X3"/>
      <c r="Y3"/>
      <c r="AD3" s="29"/>
      <c r="AE3" s="29"/>
      <c r="AH3" s="31"/>
      <c r="AI3" s="32"/>
      <c r="AK3" s="33"/>
    </row>
    <row r="4" spans="1:39" customFormat="1" ht="16.5" customHeight="1"/>
    <row r="5" spans="1:39" s="2" customFormat="1" ht="18" customHeight="1">
      <c r="B5" s="118">
        <f>DATE(AnnoCalendario+1,3,1)</f>
        <v>41334</v>
      </c>
      <c r="C5" s="58"/>
      <c r="D5" s="40" t="str">
        <f>TEXT(WEEKDAY(DATE(AnnoCalendario+1,3,1),1),"[$-410]aaa")</f>
        <v>1900</v>
      </c>
      <c r="E5" s="40" t="str">
        <f>TEXT(WEEKDAY(DATE(AnnoCalendario+1,3,2),1),"[$-410]aaa")</f>
        <v>1900</v>
      </c>
      <c r="F5" s="40" t="str">
        <f>TEXT(WEEKDAY(DATE(AnnoCalendario+1,3,3),1),"[$-410]aaa")</f>
        <v>1900</v>
      </c>
      <c r="G5" s="40" t="str">
        <f>TEXT(WEEKDAY(DATE(AnnoCalendario+1,3,4),1),"[$-410]aaa")</f>
        <v>1900</v>
      </c>
      <c r="H5" s="40" t="str">
        <f>TEXT(WEEKDAY(DATE(AnnoCalendario+1,3,5),1),"[$-410]aaa")</f>
        <v>1900</v>
      </c>
      <c r="I5" s="40" t="str">
        <f>TEXT(WEEKDAY(DATE(AnnoCalendario+1,3,6),1),"[$-410]aaa")</f>
        <v>1900</v>
      </c>
      <c r="J5" s="40" t="str">
        <f>TEXT(WEEKDAY(DATE(AnnoCalendario+1,3,7),1),"[$-410]aaa")</f>
        <v>1900</v>
      </c>
      <c r="K5" s="40" t="str">
        <f>TEXT(WEEKDAY(DATE(AnnoCalendario+1,3,8),1),"[$-410]aaa")</f>
        <v>1900</v>
      </c>
      <c r="L5" s="40" t="str">
        <f>TEXT(WEEKDAY(DATE(AnnoCalendario+1,3,9),1),"[$-410]aaa")</f>
        <v>1900</v>
      </c>
      <c r="M5" s="40" t="str">
        <f>TEXT(WEEKDAY(DATE(AnnoCalendario+1,3,10),1),"[$-410]aaa")</f>
        <v>1900</v>
      </c>
      <c r="N5" s="40" t="str">
        <f>TEXT(WEEKDAY(DATE(AnnoCalendario+1,3,11),1),"[$-410]aaa")</f>
        <v>1900</v>
      </c>
      <c r="O5" s="40" t="str">
        <f>TEXT(WEEKDAY(DATE(AnnoCalendario+1,3,12),1),"[$-410]aaa")</f>
        <v>1900</v>
      </c>
      <c r="P5" s="40" t="str">
        <f>TEXT(WEEKDAY(DATE(AnnoCalendario+1,3,13),1),"[$-410]aaa")</f>
        <v>1900</v>
      </c>
      <c r="Q5" s="40" t="str">
        <f>TEXT(WEEKDAY(DATE(AnnoCalendario+1,3,14),1),"[$-410]aaa")</f>
        <v>1900</v>
      </c>
      <c r="R5" s="40" t="str">
        <f>TEXT(WEEKDAY(DATE(AnnoCalendario+1,3,15),1),"[$-410]aaa")</f>
        <v>1900</v>
      </c>
      <c r="S5" s="40" t="str">
        <f>TEXT(WEEKDAY(DATE(AnnoCalendario+1,3,16),1),"[$-410]aaa")</f>
        <v>1900</v>
      </c>
      <c r="T5" s="40" t="str">
        <f>TEXT(WEEKDAY(DATE(AnnoCalendario+1,3,17),1),"[$-410]aaa")</f>
        <v>1900</v>
      </c>
      <c r="U5" s="40" t="str">
        <f>TEXT(WEEKDAY(DATE(AnnoCalendario+1,3,18),1),"[$-410]aaa")</f>
        <v>1900</v>
      </c>
      <c r="V5" s="40" t="str">
        <f>TEXT(WEEKDAY(DATE(AnnoCalendario+1,3,19),1),"[$-410]aaa")</f>
        <v>1900</v>
      </c>
      <c r="W5" s="40" t="str">
        <f>TEXT(WEEKDAY(DATE(AnnoCalendario+1,3,20),1),"[$-410]aaa")</f>
        <v>1900</v>
      </c>
      <c r="X5" s="40" t="str">
        <f>TEXT(WEEKDAY(DATE(AnnoCalendario+1,3,21),1),"[$-410]aaa")</f>
        <v>1900</v>
      </c>
      <c r="Y5" s="40" t="str">
        <f>TEXT(WEEKDAY(DATE(AnnoCalendario+1,3,22),1),"[$-410]aaa")</f>
        <v>1900</v>
      </c>
      <c r="Z5" s="40" t="str">
        <f>TEXT(WEEKDAY(DATE(AnnoCalendario+1,3,23),1),"[$-410]aaa")</f>
        <v>1900</v>
      </c>
      <c r="AA5" s="40" t="str">
        <f>TEXT(WEEKDAY(DATE(AnnoCalendario+1,3,24),1),"[$-410]aaa")</f>
        <v>1900</v>
      </c>
      <c r="AB5" s="40" t="str">
        <f>TEXT(WEEKDAY(DATE(AnnoCalendario+1,3,25),1),"[$-410]aaa")</f>
        <v>1900</v>
      </c>
      <c r="AC5" s="40" t="str">
        <f>TEXT(WEEKDAY(DATE(AnnoCalendario+1,3,26),1),"[$-410]aaa")</f>
        <v>1900</v>
      </c>
      <c r="AD5" s="40" t="str">
        <f>TEXT(WEEKDAY(DATE(AnnoCalendario+1,3,27),1),"[$-410]aaa")</f>
        <v>1900</v>
      </c>
      <c r="AE5" s="40" t="str">
        <f>TEXT(WEEKDAY(DATE(AnnoCalendario+1,3,28),1),"[$-410]aaa")</f>
        <v>1900</v>
      </c>
      <c r="AF5" s="40" t="str">
        <f>TEXT(WEEKDAY(DATE(AnnoCalendario+1,3,29),1),"[$-410]aaa")</f>
        <v>1900</v>
      </c>
      <c r="AG5" s="40" t="str">
        <f>TEXT(WEEKDAY(DATE(AnnoCalendario+1,3,30),1),"[$-410]aaa")</f>
        <v>1900</v>
      </c>
      <c r="AH5" s="40" t="str">
        <f>TEXT(WEEKDAY(DATE(AnnoCalendario+1,3,31),1),"[$-410]aaa")</f>
        <v>1900</v>
      </c>
      <c r="AI5" s="132" t="s">
        <v>38</v>
      </c>
      <c r="AJ5" s="132"/>
      <c r="AK5" s="132"/>
      <c r="AL5" s="132"/>
      <c r="AM5" s="132"/>
    </row>
    <row r="6" spans="1:39" ht="14.25" customHeight="1">
      <c r="B6" s="26" t="s">
        <v>34</v>
      </c>
      <c r="C6" s="27" t="s">
        <v>36</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30</v>
      </c>
      <c r="AI6" s="90" t="s">
        <v>132</v>
      </c>
      <c r="AJ6" s="66" t="s">
        <v>139</v>
      </c>
      <c r="AK6" s="67" t="s">
        <v>138</v>
      </c>
      <c r="AL6" s="68" t="s">
        <v>31</v>
      </c>
      <c r="AM6" t="s">
        <v>37</v>
      </c>
    </row>
    <row r="7" spans="1:39" ht="16.5" customHeight="1">
      <c r="B7" s="25"/>
      <c r="C7" s="21" t="str">
        <f>IFERROR(VLOOKUP(FrequenzaMarzo[[#This Row],[ID studente]],ElencoStudenti[],18,FALSE),"")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4">
        <f>COUNTIF(FrequenzaMarzo[[#This Row],[1]:[31]],Codice1)</f>
        <v>0</v>
      </c>
      <c r="AJ7" s="34">
        <f>COUNTIF(FrequenzaMarzo[[#This Row],[1]:[31]],Codice2)</f>
        <v>0</v>
      </c>
      <c r="AK7" s="34">
        <f>COUNTIF(FrequenzaMarzo[[#This Row],[1]:[31]],Codice3)</f>
        <v>0</v>
      </c>
      <c r="AL7" s="34">
        <f>COUNTIF(FrequenzaMarzo[[#This Row],[1]:[31]],Codice4)</f>
        <v>0</v>
      </c>
      <c r="AM7" s="7">
        <f>SUM(FrequenzaMarzo[[#This Row],[N]:[G]])</f>
        <v>0</v>
      </c>
    </row>
    <row r="8" spans="1:39" ht="16.5" customHeight="1">
      <c r="B8" s="25"/>
      <c r="C8" s="21" t="str">
        <f>IFERROR(VLOOKUP(FrequenzaMarzo[[#This Row],[ID studente]],ElencoStudenti[],18,FALSE),"")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4">
        <f>COUNTIF(FrequenzaMarzo[[#This Row],[1]:[31]],Codice1)</f>
        <v>0</v>
      </c>
      <c r="AJ8" s="34">
        <f>COUNTIF(FrequenzaMarzo[[#This Row],[1]:[31]],Codice2)</f>
        <v>0</v>
      </c>
      <c r="AK8" s="34">
        <f>COUNTIF(FrequenzaMarzo[[#This Row],[1]:[31]],Codice3)</f>
        <v>0</v>
      </c>
      <c r="AL8" s="34">
        <f>COUNTIF(FrequenzaMarzo[[#This Row],[1]:[31]],Codice4)</f>
        <v>0</v>
      </c>
      <c r="AM8" s="7">
        <f>SUM(FrequenzaMarzo[[#This Row],[N]:[G]])</f>
        <v>0</v>
      </c>
    </row>
    <row r="9" spans="1:39" ht="16.5" customHeight="1">
      <c r="B9" s="25"/>
      <c r="C9" s="21" t="str">
        <f>IFERROR(VLOOKUP(FrequenzaMarzo[[#This Row],[ID studente]],ElencoStudenti[],18,FALSE),"")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4">
        <f>COUNTIF(FrequenzaMarzo[[#This Row],[1]:[31]],Codice1)</f>
        <v>0</v>
      </c>
      <c r="AJ9" s="34">
        <f>COUNTIF(FrequenzaMarzo[[#This Row],[1]:[31]],Codice2)</f>
        <v>0</v>
      </c>
      <c r="AK9" s="34">
        <f>COUNTIF(FrequenzaMarzo[[#This Row],[1]:[31]],Codice3)</f>
        <v>0</v>
      </c>
      <c r="AL9" s="34">
        <f>COUNTIF(FrequenzaMarzo[[#This Row],[1]:[31]],Codice4)</f>
        <v>0</v>
      </c>
      <c r="AM9" s="7">
        <f>SUM(FrequenzaMarzo[[#This Row],[N]:[G]])</f>
        <v>0</v>
      </c>
    </row>
    <row r="10" spans="1:39" ht="16.5" customHeight="1">
      <c r="B10" s="25"/>
      <c r="C10" s="21" t="str">
        <f>IFERROR(VLOOKUP(FrequenzaMarzo[[#This Row],[ID studente]],ElencoStudenti[],18,FALSE),"")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4">
        <f>COUNTIF(FrequenzaMarzo[[#This Row],[1]:[31]],Codice1)</f>
        <v>0</v>
      </c>
      <c r="AJ10" s="34">
        <f>COUNTIF(FrequenzaMarzo[[#This Row],[1]:[31]],Codice2)</f>
        <v>0</v>
      </c>
      <c r="AK10" s="34">
        <f>COUNTIF(FrequenzaMarzo[[#This Row],[1]:[31]],Codice3)</f>
        <v>0</v>
      </c>
      <c r="AL10" s="34">
        <f>COUNTIF(FrequenzaMarzo[[#This Row],[1]:[31]],Codice4)</f>
        <v>0</v>
      </c>
      <c r="AM10" s="7">
        <f>SUM(FrequenzaMarzo[[#This Row],[N]:[G]])</f>
        <v>0</v>
      </c>
    </row>
    <row r="11" spans="1:39" ht="16.5" customHeight="1">
      <c r="B11" s="25"/>
      <c r="C11" s="21" t="str">
        <f>IFERROR(VLOOKUP(FrequenzaMarzo[[#This Row],[ID studente]],ElencoStudenti[],18,FALSE),"")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4">
        <f>COUNTIF(FrequenzaMarzo[[#This Row],[1]:[31]],Codice1)</f>
        <v>0</v>
      </c>
      <c r="AJ11" s="34">
        <f>COUNTIF(FrequenzaMarzo[[#This Row],[1]:[31]],Codice2)</f>
        <v>0</v>
      </c>
      <c r="AK11" s="34">
        <f>COUNTIF(FrequenzaMarzo[[#This Row],[1]:[31]],Codice3)</f>
        <v>0</v>
      </c>
      <c r="AL11" s="34">
        <f>COUNTIF(FrequenzaMarzo[[#This Row],[1]:[31]],Codice4)</f>
        <v>0</v>
      </c>
      <c r="AM11" s="7">
        <f>SUM(FrequenzaMarzo[[#This Row],[N]:[G]])</f>
        <v>0</v>
      </c>
    </row>
    <row r="12" spans="1:39" s="119" customFormat="1" ht="16.5" customHeight="1">
      <c r="B12" s="115"/>
      <c r="C12" s="4" t="s">
        <v>114</v>
      </c>
      <c r="D12" s="115">
        <f>COUNTIF(FrequenzaMarzo[1],"N")+COUNTIF(FrequenzaMarzo[1],"G")</f>
        <v>0</v>
      </c>
      <c r="E12" s="115">
        <f>COUNTIF(FrequenzaMarzo[2],"N")+COUNTIF(FrequenzaMarzo[2],"G")</f>
        <v>0</v>
      </c>
      <c r="F12" s="115">
        <f>COUNTIF(FrequenzaMarzo[3],"N")+COUNTIF(FrequenzaMarzo[3],"G")</f>
        <v>0</v>
      </c>
      <c r="G12" s="115">
        <f>COUNTIF(FrequenzaMarzo[4],"N")+COUNTIF(FrequenzaMarzo[4],"G")</f>
        <v>0</v>
      </c>
      <c r="H12" s="115">
        <f>COUNTIF(FrequenzaMarzo[5],"N")+COUNTIF(FrequenzaMarzo[5],"G")</f>
        <v>0</v>
      </c>
      <c r="I12" s="115">
        <f>COUNTIF(FrequenzaMarzo[6],"N")+COUNTIF(FrequenzaMarzo[6],"G")</f>
        <v>0</v>
      </c>
      <c r="J12" s="115">
        <f>COUNTIF(FrequenzaMarzo[7],"N")+COUNTIF(FrequenzaMarzo[7],"G")</f>
        <v>0</v>
      </c>
      <c r="K12" s="115">
        <f>COUNTIF(FrequenzaMarzo[8],"N")+COUNTIF(FrequenzaMarzo[8],"G")</f>
        <v>0</v>
      </c>
      <c r="L12" s="115">
        <f>COUNTIF(FrequenzaMarzo[9],"N")+COUNTIF(FrequenzaMarzo[9],"G")</f>
        <v>0</v>
      </c>
      <c r="M12" s="115">
        <f>COUNTIF(FrequenzaMarzo[10],"N")+COUNTIF(FrequenzaMarzo[10],"G")</f>
        <v>0</v>
      </c>
      <c r="N12" s="115">
        <f>COUNTIF(FrequenzaMarzo[11],"N")+COUNTIF(FrequenzaMarzo[11],"G")</f>
        <v>0</v>
      </c>
      <c r="O12" s="115">
        <f>COUNTIF(FrequenzaMarzo[12],"N")+COUNTIF(FrequenzaMarzo[12],"G")</f>
        <v>0</v>
      </c>
      <c r="P12" s="115">
        <f>COUNTIF(FrequenzaMarzo[13],"N")+COUNTIF(FrequenzaMarzo[13],"G")</f>
        <v>0</v>
      </c>
      <c r="Q12" s="115">
        <f>COUNTIF(FrequenzaMarzo[14],"N")+COUNTIF(FrequenzaMarzo[14],"G")</f>
        <v>0</v>
      </c>
      <c r="R12" s="115">
        <f>COUNTIF(FrequenzaMarzo[15],"N")+COUNTIF(FrequenzaMarzo[15],"G")</f>
        <v>0</v>
      </c>
      <c r="S12" s="115">
        <f>COUNTIF(FrequenzaMarzo[16],"N")+COUNTIF(FrequenzaMarzo[16],"G")</f>
        <v>0</v>
      </c>
      <c r="T12" s="115">
        <f>COUNTIF(FrequenzaMarzo[17],"N")+COUNTIF(FrequenzaMarzo[17],"G")</f>
        <v>0</v>
      </c>
      <c r="U12" s="115">
        <f>COUNTIF(FrequenzaMarzo[18],"N")+COUNTIF(FrequenzaMarzo[18],"G")</f>
        <v>0</v>
      </c>
      <c r="V12" s="115">
        <f>COUNTIF(FrequenzaMarzo[19],"N")+COUNTIF(FrequenzaMarzo[19],"G")</f>
        <v>0</v>
      </c>
      <c r="W12" s="115">
        <f>COUNTIF(FrequenzaMarzo[20],"N")+COUNTIF(FrequenzaMarzo[20],"G")</f>
        <v>0</v>
      </c>
      <c r="X12" s="115">
        <f>COUNTIF(FrequenzaMarzo[21],"N")+COUNTIF(FrequenzaMarzo[21],"G")</f>
        <v>0</v>
      </c>
      <c r="Y12" s="115">
        <f>COUNTIF(FrequenzaMarzo[22],"N")+COUNTIF(FrequenzaMarzo[22],"G")</f>
        <v>0</v>
      </c>
      <c r="Z12" s="115">
        <f>COUNTIF(FrequenzaMarzo[23],"N")+COUNTIF(FrequenzaMarzo[23],"G")</f>
        <v>0</v>
      </c>
      <c r="AA12" s="115">
        <f>COUNTIF(FrequenzaMarzo[24],"N")+COUNTIF(FrequenzaMarzo[24],"G")</f>
        <v>0</v>
      </c>
      <c r="AB12" s="115">
        <f>COUNTIF(FrequenzaMarzo[25],"N")+COUNTIF(FrequenzaMarzo[25],"G")</f>
        <v>0</v>
      </c>
      <c r="AC12" s="115">
        <f>COUNTIF(FrequenzaMarzo[26],"N")+COUNTIF(FrequenzaMarzo[26],"G")</f>
        <v>0</v>
      </c>
      <c r="AD12" s="115">
        <f>COUNTIF(FrequenzaMarzo[27],"N")+COUNTIF(FrequenzaMarzo[27],"G")</f>
        <v>0</v>
      </c>
      <c r="AE12" s="115">
        <f>COUNTIF(FrequenzaMarzo[28],"N")+COUNTIF(FrequenzaMarzo[28],"G")</f>
        <v>0</v>
      </c>
      <c r="AF12" s="115">
        <f>COUNTIF(FrequenzaMarzo[29],"N")+COUNTIF(FrequenzaMarzo[29],"G")</f>
        <v>0</v>
      </c>
      <c r="AG12" s="115">
        <f>COUNTIF(FrequenzaMarzo[30],"N")+COUNTIF(FrequenzaMarzo[30],"G")</f>
        <v>0</v>
      </c>
      <c r="AH12" s="115">
        <f>COUNTIF(FrequenzaMarzo[31],"N")+COUNTIF(FrequenzaMarzo[31],"G")</f>
        <v>0</v>
      </c>
      <c r="AI12" s="115">
        <f>SUBTOTAL(109,FrequenzaMarzo[I])</f>
        <v>0</v>
      </c>
      <c r="AJ12" s="115">
        <f>SUBTOTAL(109,FrequenzaMarzo[N])</f>
        <v>0</v>
      </c>
      <c r="AK12" s="115">
        <f>SUBTOTAL(109,FrequenzaMarzo[G])</f>
        <v>0</v>
      </c>
      <c r="AL12" s="115">
        <f>SUBTOTAL(109,FrequenzaMarzo[P])</f>
        <v>0</v>
      </c>
      <c r="AM12" s="115">
        <f>SUBTOTAL(109,FrequenzaMarzo[Giorni di assenza])</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AM7:AM11">
    <cfRule type="dataBar" priority="1">
      <dataBar>
        <cfvo type="min"/>
        <cfvo type="num" val="DATEDIF(DATE(AnnoCalendario,2,1),DATE(AnnoCalendario,3,1),&quot;d&quot;)"/>
        <color theme="4"/>
      </dataBar>
      <extLst>
        <ext xmlns:x14="http://schemas.microsoft.com/office/spreadsheetml/2009/9/main" uri="{B025F937-C7B1-47D3-B67F-A62EFF666E3E}">
          <x14:id>{FE16E06C-E989-439D-8944-FBFC073CA68C}</x14:id>
        </ext>
      </extLst>
    </cfRule>
  </conditionalFormatting>
  <conditionalFormatting sqref="D7:AF11">
    <cfRule type="expression" dxfId="420" priority="2" stopIfTrue="1">
      <formula>D7=Codice2</formula>
    </cfRule>
  </conditionalFormatting>
  <conditionalFormatting sqref="D7:AF11">
    <cfRule type="expression" dxfId="419" priority="3" stopIfTrue="1">
      <formula>D7=Codice5</formula>
    </cfRule>
    <cfRule type="expression" dxfId="418" priority="4" stopIfTrue="1">
      <formula>D7=Codice4</formula>
    </cfRule>
    <cfRule type="expression" dxfId="417" priority="5" stopIfTrue="1">
      <formula>D7=Codice3</formula>
    </cfRule>
    <cfRule type="expression" dxfId="416" priority="6" stopIfTrue="1">
      <formula>D7=Codice1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E16E06C-E989-439D-8944-FBFC073CA68C}">
            <x14:dataBar minLength="0" maxLength="100" border="1" negativeBarBorderColorSameAsPositive="0">
              <x14:cfvo type="autoMin"/>
              <x14:cfvo type="num">
                <xm:f>DATEDIF(DATE(AnnoCalendario,2,1),DATE(AnnoCalendario,3,1),"d")</xm:f>
              </x14:cfvo>
              <x14:borderColor theme="4"/>
              <x14:negativeFillColor rgb="FFFF0000"/>
              <x14:negativeBorderColor rgb="FFFF0000"/>
              <x14:axisColor rgb="FF000000"/>
            </x14:dataBar>
          </x14:cfRule>
          <xm:sqref>AM7:AM11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M263"/>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12" customWidth="1"/>
    <col min="2" max="2" width="12.42578125" style="12" bestFit="1" customWidth="1"/>
    <col min="3" max="3" width="29" style="13" customWidth="1"/>
    <col min="4"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39" s="1" customFormat="1" ht="42" customHeight="1">
      <c r="A1" s="35"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f>AnnoCalendario</f>
        <v>2012</v>
      </c>
    </row>
    <row r="2" spans="1:39" customFormat="1" ht="13.5"/>
    <row r="3" spans="1:39" s="30" customFormat="1" ht="12.75" customHeight="1">
      <c r="C3" s="42" t="str">
        <f>TestoLeggendaColori</f>
        <v xml:space="preserve">LEGGENDA COLORI </v>
      </c>
      <c r="D3" s="49" t="str">
        <f>Codice1</f>
        <v>I</v>
      </c>
      <c r="E3" s="65" t="str">
        <f>TestoCodice1</f>
        <v>In ritardo</v>
      </c>
      <c r="F3" s="57"/>
      <c r="H3" s="50" t="str">
        <f>Codice2</f>
        <v>G</v>
      </c>
      <c r="I3" s="54" t="str">
        <f>TestoCodice2</f>
        <v>Giustificato</v>
      </c>
      <c r="L3" s="51" t="str">
        <f>Codice3</f>
        <v>N</v>
      </c>
      <c r="M3" s="54" t="str">
        <f>TestoCodice3</f>
        <v>Non giustificato</v>
      </c>
      <c r="P3" s="52" t="str">
        <f>Codice4</f>
        <v>P</v>
      </c>
      <c r="Q3" s="54" t="str">
        <f>TestoCodice4</f>
        <v>Presente</v>
      </c>
      <c r="T3" s="53" t="str">
        <f>Codice5</f>
        <v>S</v>
      </c>
      <c r="U3" s="54" t="str">
        <f>TestoCodice5</f>
        <v>Scuola chiusa</v>
      </c>
      <c r="W3"/>
      <c r="X3"/>
      <c r="Y3"/>
      <c r="AD3" s="29"/>
      <c r="AE3" s="29"/>
      <c r="AH3" s="31"/>
      <c r="AI3" s="32"/>
      <c r="AK3" s="33"/>
    </row>
    <row r="4" spans="1:39" customFormat="1" ht="16.5" customHeight="1"/>
    <row r="5" spans="1:39" s="2" customFormat="1" ht="18" customHeight="1">
      <c r="B5" s="118">
        <f>DATE(AnnoCalendario+1,4,1)</f>
        <v>41365</v>
      </c>
      <c r="C5" s="58"/>
      <c r="D5" s="40" t="str">
        <f>TEXT(WEEKDAY(DATE(AnnoCalendario+1,4,1),1),"[$-410]aaa")</f>
        <v>1900</v>
      </c>
      <c r="E5" s="40" t="str">
        <f>TEXT(WEEKDAY(DATE(AnnoCalendario+1,4,2),1),"[$-410]aaa")</f>
        <v>1900</v>
      </c>
      <c r="F5" s="40" t="str">
        <f>TEXT(WEEKDAY(DATE(AnnoCalendario+1,4,3),1),"[$-410]aaa")</f>
        <v>1900</v>
      </c>
      <c r="G5" s="40" t="str">
        <f>TEXT(WEEKDAY(DATE(AnnoCalendario+1,4,4),1),"[$-410]aaa")</f>
        <v>1900</v>
      </c>
      <c r="H5" s="40" t="str">
        <f>TEXT(WEEKDAY(DATE(AnnoCalendario+1,4,5),1),"[$-410]aaa")</f>
        <v>1900</v>
      </c>
      <c r="I5" s="40" t="str">
        <f>TEXT(WEEKDAY(DATE(AnnoCalendario+1,4,6),1),"[$-410]aaa")</f>
        <v>1900</v>
      </c>
      <c r="J5" s="40" t="str">
        <f>TEXT(WEEKDAY(DATE(AnnoCalendario+1,4,7),1),"[$-410]aaa")</f>
        <v>1900</v>
      </c>
      <c r="K5" s="40" t="str">
        <f>TEXT(WEEKDAY(DATE(AnnoCalendario+1,4,8),1),"[$-410]aaa")</f>
        <v>1900</v>
      </c>
      <c r="L5" s="40" t="str">
        <f>TEXT(WEEKDAY(DATE(AnnoCalendario+1,4,9),1),"[$-410]aaa")</f>
        <v>1900</v>
      </c>
      <c r="M5" s="40" t="str">
        <f>TEXT(WEEKDAY(DATE(AnnoCalendario+1,4,10),1),"[$-410]aaa")</f>
        <v>1900</v>
      </c>
      <c r="N5" s="40" t="str">
        <f>TEXT(WEEKDAY(DATE(AnnoCalendario+1,4,11),1),"[$-410]aaa")</f>
        <v>1900</v>
      </c>
      <c r="O5" s="40" t="str">
        <f>TEXT(WEEKDAY(DATE(AnnoCalendario+1,4,12),1),"[$-410]aaa")</f>
        <v>1900</v>
      </c>
      <c r="P5" s="40" t="str">
        <f>TEXT(WEEKDAY(DATE(AnnoCalendario+1,4,13),1),"[$-410]aaa")</f>
        <v>1900</v>
      </c>
      <c r="Q5" s="40" t="str">
        <f>TEXT(WEEKDAY(DATE(AnnoCalendario+1,4,14),1),"[$-410]aaa")</f>
        <v>1900</v>
      </c>
      <c r="R5" s="40" t="str">
        <f>TEXT(WEEKDAY(DATE(AnnoCalendario+1,4,15),1),"[$-410]aaa")</f>
        <v>1900</v>
      </c>
      <c r="S5" s="40" t="str">
        <f>TEXT(WEEKDAY(DATE(AnnoCalendario+1,4,16),1),"[$-410]aaa")</f>
        <v>1900</v>
      </c>
      <c r="T5" s="40" t="str">
        <f>TEXT(WEEKDAY(DATE(AnnoCalendario+1,4,17),1),"[$-410]aaa")</f>
        <v>1900</v>
      </c>
      <c r="U5" s="40" t="str">
        <f>TEXT(WEEKDAY(DATE(AnnoCalendario+1,4,18),1),"[$-410]aaa")</f>
        <v>1900</v>
      </c>
      <c r="V5" s="40" t="str">
        <f>TEXT(WEEKDAY(DATE(AnnoCalendario+1,4,19),1),"[$-410]aaa")</f>
        <v>1900</v>
      </c>
      <c r="W5" s="40" t="str">
        <f>TEXT(WEEKDAY(DATE(AnnoCalendario+1,4,20),1),"[$-410]aaa")</f>
        <v>1900</v>
      </c>
      <c r="X5" s="40" t="str">
        <f>TEXT(WEEKDAY(DATE(AnnoCalendario+1,4,21),1),"[$-410]aaa")</f>
        <v>1900</v>
      </c>
      <c r="Y5" s="40" t="str">
        <f>TEXT(WEEKDAY(DATE(AnnoCalendario+1,4,22),1),"[$-410]aaa")</f>
        <v>1900</v>
      </c>
      <c r="Z5" s="40" t="str">
        <f>TEXT(WEEKDAY(DATE(AnnoCalendario+1,4,23),1),"[$-410]aaa")</f>
        <v>1900</v>
      </c>
      <c r="AA5" s="40" t="str">
        <f>TEXT(WEEKDAY(DATE(AnnoCalendario+1,4,24),1),"[$-410]aaa")</f>
        <v>1900</v>
      </c>
      <c r="AB5" s="40" t="str">
        <f>TEXT(WEEKDAY(DATE(AnnoCalendario+1,4,25),1),"[$-410]aaa")</f>
        <v>1900</v>
      </c>
      <c r="AC5" s="40" t="str">
        <f>TEXT(WEEKDAY(DATE(AnnoCalendario+1,4,26),1),"[$-410]aaa")</f>
        <v>1900</v>
      </c>
      <c r="AD5" s="40" t="str">
        <f>TEXT(WEEKDAY(DATE(AnnoCalendario+1,4,27),1),"[$-410]aaa")</f>
        <v>1900</v>
      </c>
      <c r="AE5" s="40" t="str">
        <f>TEXT(WEEKDAY(DATE(AnnoCalendario+1,4,28),1),"[$-410]aaa")</f>
        <v>1900</v>
      </c>
      <c r="AF5" s="40" t="str">
        <f>TEXT(WEEKDAY(DATE(AnnoCalendario+1,4,29),1),"[$-410]aaa")</f>
        <v>1900</v>
      </c>
      <c r="AG5" s="40" t="str">
        <f>TEXT(WEEKDAY(DATE(AnnoCalendario+1,4,30),1),"[$-410]aaa")</f>
        <v>1900</v>
      </c>
      <c r="AH5" s="40"/>
      <c r="AI5" s="132" t="s">
        <v>38</v>
      </c>
      <c r="AJ5" s="132"/>
      <c r="AK5" s="132"/>
      <c r="AL5" s="132"/>
      <c r="AM5" s="132"/>
    </row>
    <row r="6" spans="1:39" ht="14.25" customHeight="1">
      <c r="B6" s="26" t="s">
        <v>34</v>
      </c>
      <c r="C6" s="27" t="s">
        <v>36</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113</v>
      </c>
      <c r="AI6" s="90" t="s">
        <v>132</v>
      </c>
      <c r="AJ6" s="66" t="s">
        <v>139</v>
      </c>
      <c r="AK6" s="67" t="s">
        <v>138</v>
      </c>
      <c r="AL6" s="68" t="s">
        <v>31</v>
      </c>
      <c r="AM6" t="s">
        <v>37</v>
      </c>
    </row>
    <row r="7" spans="1:39" ht="16.5" customHeight="1">
      <c r="B7" s="25"/>
      <c r="C7" s="21" t="str">
        <f>IFERROR(VLOOKUP(FrequenzaAprile[[#This Row],[ID studente]],ElencoStudenti[],18,FALSE),"")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4">
        <f>COUNTIF(FrequenzaAprile[[#This Row],[1]:[ ]],Codice1)</f>
        <v>0</v>
      </c>
      <c r="AJ7" s="34">
        <f>COUNTIF(FrequenzaAprile[[#This Row],[1]:[ ]],Codice2)</f>
        <v>0</v>
      </c>
      <c r="AK7" s="34">
        <f>COUNTIF(FrequenzaAprile[[#This Row],[1]:[ ]],Codice3)</f>
        <v>0</v>
      </c>
      <c r="AL7" s="34">
        <f>COUNTIF(FrequenzaAprile[[#This Row],[1]:[ ]],Codice4)</f>
        <v>0</v>
      </c>
      <c r="AM7" s="7">
        <f>SUM(FrequenzaAprile[[#This Row],[N]:[G]])</f>
        <v>0</v>
      </c>
    </row>
    <row r="8" spans="1:39" ht="16.5" customHeight="1">
      <c r="B8" s="25"/>
      <c r="C8" s="21" t="str">
        <f>IFERROR(VLOOKUP(FrequenzaAprile[[#This Row],[ID studente]],ElencoStudenti[],18,FALSE),"")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4">
        <f>COUNTIF(FrequenzaAprile[[#This Row],[1]:[ ]],Codice1)</f>
        <v>0</v>
      </c>
      <c r="AJ8" s="34">
        <f>COUNTIF(FrequenzaAprile[[#This Row],[1]:[ ]],Codice2)</f>
        <v>0</v>
      </c>
      <c r="AK8" s="34">
        <f>COUNTIF(FrequenzaAprile[[#This Row],[1]:[ ]],Codice3)</f>
        <v>0</v>
      </c>
      <c r="AL8" s="34">
        <f>COUNTIF(FrequenzaAprile[[#This Row],[1]:[ ]],Codice4)</f>
        <v>0</v>
      </c>
      <c r="AM8" s="7">
        <f>SUM(FrequenzaAprile[[#This Row],[N]:[G]])</f>
        <v>0</v>
      </c>
    </row>
    <row r="9" spans="1:39" ht="16.5" customHeight="1">
      <c r="B9" s="25"/>
      <c r="C9" s="21" t="str">
        <f>IFERROR(VLOOKUP(FrequenzaAprile[[#This Row],[ID studente]],ElencoStudenti[],18,FALSE),"")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4">
        <f>COUNTIF(FrequenzaAprile[[#This Row],[1]:[ ]],Codice1)</f>
        <v>0</v>
      </c>
      <c r="AJ9" s="34">
        <f>COUNTIF(FrequenzaAprile[[#This Row],[1]:[ ]],Codice2)</f>
        <v>0</v>
      </c>
      <c r="AK9" s="34">
        <f>COUNTIF(FrequenzaAprile[[#This Row],[1]:[ ]],Codice3)</f>
        <v>0</v>
      </c>
      <c r="AL9" s="34">
        <f>COUNTIF(FrequenzaAprile[[#This Row],[1]:[ ]],Codice4)</f>
        <v>0</v>
      </c>
      <c r="AM9" s="7">
        <f>SUM(FrequenzaAprile[[#This Row],[N]:[G]])</f>
        <v>0</v>
      </c>
    </row>
    <row r="10" spans="1:39" ht="16.5" customHeight="1">
      <c r="B10" s="25"/>
      <c r="C10" s="21" t="str">
        <f>IFERROR(VLOOKUP(FrequenzaAprile[[#This Row],[ID studente]],ElencoStudenti[],18,FALSE),"")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4">
        <f>COUNTIF(FrequenzaAprile[[#This Row],[1]:[ ]],Codice1)</f>
        <v>0</v>
      </c>
      <c r="AJ10" s="34">
        <f>COUNTIF(FrequenzaAprile[[#This Row],[1]:[ ]],Codice2)</f>
        <v>0</v>
      </c>
      <c r="AK10" s="34">
        <f>COUNTIF(FrequenzaAprile[[#This Row],[1]:[ ]],Codice3)</f>
        <v>0</v>
      </c>
      <c r="AL10" s="34">
        <f>COUNTIF(FrequenzaAprile[[#This Row],[1]:[ ]],Codice4)</f>
        <v>0</v>
      </c>
      <c r="AM10" s="7">
        <f>SUM(FrequenzaAprile[[#This Row],[N]:[G]])</f>
        <v>0</v>
      </c>
    </row>
    <row r="11" spans="1:39" ht="16.5" customHeight="1">
      <c r="B11" s="25"/>
      <c r="C11" s="21" t="str">
        <f>IFERROR(VLOOKUP(FrequenzaAprile[[#This Row],[ID studente]],ElencoStudenti[],18,FALSE),"")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4">
        <f>COUNTIF(FrequenzaAprile[[#This Row],[1]:[ ]],Codice1)</f>
        <v>0</v>
      </c>
      <c r="AJ11" s="34">
        <f>COUNTIF(FrequenzaAprile[[#This Row],[1]:[ ]],Codice2)</f>
        <v>0</v>
      </c>
      <c r="AK11" s="34">
        <f>COUNTIF(FrequenzaAprile[[#This Row],[1]:[ ]],Codice3)</f>
        <v>0</v>
      </c>
      <c r="AL11" s="34">
        <f>COUNTIF(FrequenzaAprile[[#This Row],[1]:[ ]],Codice4)</f>
        <v>0</v>
      </c>
      <c r="AM11" s="7">
        <f>SUM(FrequenzaAprile[[#This Row],[N]:[G]])</f>
        <v>0</v>
      </c>
    </row>
    <row r="12" spans="1:39" s="119" customFormat="1" ht="16.5" customHeight="1">
      <c r="B12" s="115"/>
      <c r="C12" s="4" t="s">
        <v>114</v>
      </c>
      <c r="D12" s="115">
        <f>COUNTIF(FrequenzaAprile[1],"N")+COUNTIF(FrequenzaAprile[1],"G")</f>
        <v>0</v>
      </c>
      <c r="E12" s="115">
        <f>COUNTIF(FrequenzaAprile[2],"N")+COUNTIF(FrequenzaAprile[2],"G")</f>
        <v>0</v>
      </c>
      <c r="F12" s="115">
        <f>COUNTIF(FrequenzaAprile[3],"N")+COUNTIF(FrequenzaAprile[3],"G")</f>
        <v>0</v>
      </c>
      <c r="G12" s="115">
        <f>COUNTIF(FrequenzaAprile[4],"N")+COUNTIF(FrequenzaAprile[4],"G")</f>
        <v>0</v>
      </c>
      <c r="H12" s="115">
        <f>COUNTIF(FrequenzaAprile[5],"N")+COUNTIF(FrequenzaAprile[5],"G")</f>
        <v>0</v>
      </c>
      <c r="I12" s="115">
        <f>COUNTIF(FrequenzaAprile[6],"N")+COUNTIF(FrequenzaAprile[6],"G")</f>
        <v>0</v>
      </c>
      <c r="J12" s="115">
        <f>COUNTIF(FrequenzaAprile[7],"N")+COUNTIF(FrequenzaAprile[7],"G")</f>
        <v>0</v>
      </c>
      <c r="K12" s="115">
        <f>COUNTIF(FrequenzaAprile[8],"N")+COUNTIF(FrequenzaAprile[8],"G")</f>
        <v>0</v>
      </c>
      <c r="L12" s="115">
        <f>COUNTIF(FrequenzaAprile[9],"N")+COUNTIF(FrequenzaAprile[9],"G")</f>
        <v>0</v>
      </c>
      <c r="M12" s="115">
        <f>COUNTIF(FrequenzaAprile[10],"N")+COUNTIF(FrequenzaAprile[10],"G")</f>
        <v>0</v>
      </c>
      <c r="N12" s="115">
        <f>COUNTIF(FrequenzaAprile[11],"N")+COUNTIF(FrequenzaAprile[11],"G")</f>
        <v>0</v>
      </c>
      <c r="O12" s="115">
        <f>COUNTIF(FrequenzaAprile[12],"N")+COUNTIF(FrequenzaAprile[12],"G")</f>
        <v>0</v>
      </c>
      <c r="P12" s="115">
        <f>COUNTIF(FrequenzaAprile[13],"N")+COUNTIF(FrequenzaAprile[13],"G")</f>
        <v>0</v>
      </c>
      <c r="Q12" s="115">
        <f>COUNTIF(FrequenzaAprile[14],"N")+COUNTIF(FrequenzaAprile[14],"G")</f>
        <v>0</v>
      </c>
      <c r="R12" s="115">
        <f>COUNTIF(FrequenzaAprile[15],"N")+COUNTIF(FrequenzaAprile[15],"G")</f>
        <v>0</v>
      </c>
      <c r="S12" s="115">
        <f>COUNTIF(FrequenzaAprile[16],"N")+COUNTIF(FrequenzaAprile[16],"G")</f>
        <v>0</v>
      </c>
      <c r="T12" s="115">
        <f>COUNTIF(FrequenzaAprile[17],"N")+COUNTIF(FrequenzaAprile[17],"G")</f>
        <v>0</v>
      </c>
      <c r="U12" s="115">
        <f>COUNTIF(FrequenzaAprile[18],"N")+COUNTIF(FrequenzaAprile[18],"G")</f>
        <v>0</v>
      </c>
      <c r="V12" s="115">
        <f>COUNTIF(FrequenzaAprile[19],"N")+COUNTIF(FrequenzaAprile[19],"G")</f>
        <v>0</v>
      </c>
      <c r="W12" s="115">
        <f>COUNTIF(FrequenzaAprile[20],"N")+COUNTIF(FrequenzaAprile[20],"G")</f>
        <v>0</v>
      </c>
      <c r="X12" s="115">
        <f>COUNTIF(FrequenzaAprile[21],"N")+COUNTIF(FrequenzaAprile[21],"G")</f>
        <v>0</v>
      </c>
      <c r="Y12" s="115">
        <f>COUNTIF(FrequenzaAprile[22],"N")+COUNTIF(FrequenzaAprile[22],"G")</f>
        <v>0</v>
      </c>
      <c r="Z12" s="115">
        <f>COUNTIF(FrequenzaAprile[23],"N")+COUNTIF(FrequenzaAprile[23],"G")</f>
        <v>0</v>
      </c>
      <c r="AA12" s="115">
        <f>COUNTIF(FrequenzaAprile[24],"N")+COUNTIF(FrequenzaAprile[24],"G")</f>
        <v>0</v>
      </c>
      <c r="AB12" s="115">
        <f>COUNTIF(FrequenzaAprile[25],"N")+COUNTIF(FrequenzaAprile[25],"G")</f>
        <v>0</v>
      </c>
      <c r="AC12" s="115">
        <f>COUNTIF(FrequenzaAprile[26],"N")+COUNTIF(FrequenzaAprile[26],"G")</f>
        <v>0</v>
      </c>
      <c r="AD12" s="115">
        <f>COUNTIF(FrequenzaAprile[27],"N")+COUNTIF(FrequenzaAprile[27],"G")</f>
        <v>0</v>
      </c>
      <c r="AE12" s="115">
        <f>COUNTIF(FrequenzaAprile[28],"N")+COUNTIF(FrequenzaAprile[28],"G")</f>
        <v>0</v>
      </c>
      <c r="AF12" s="115">
        <f>COUNTIF(FrequenzaAprile[29],"N")+COUNTIF(FrequenzaAprile[29],"G")</f>
        <v>0</v>
      </c>
      <c r="AG12" s="115">
        <f>COUNTIF(FrequenzaAprile[30],"N")+COUNTIF(FrequenzaAprile[30],"G")</f>
        <v>0</v>
      </c>
      <c r="AH12" s="115"/>
      <c r="AI12" s="115">
        <f>SUBTOTAL(109,FrequenzaAprile[I])</f>
        <v>0</v>
      </c>
      <c r="AJ12" s="115">
        <f>SUBTOTAL(109,FrequenzaAprile[N])</f>
        <v>0</v>
      </c>
      <c r="AK12" s="115">
        <f>SUBTOTAL(109,FrequenzaAprile[G])</f>
        <v>0</v>
      </c>
      <c r="AL12" s="115">
        <f>SUBTOTAL(109,FrequenzaAprile[P])</f>
        <v>0</v>
      </c>
      <c r="AM12" s="115">
        <f>SUBTOTAL(109,FrequenzaAprile[Giorni di assenza])</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AM7:AM11">
    <cfRule type="dataBar" priority="1">
      <dataBar>
        <cfvo type="min"/>
        <cfvo type="num" val="DATEDIF(DATE(AnnoCalendario,2,1),DATE(AnnoCalendario,3,1),&quot;d&quot;)"/>
        <color theme="4"/>
      </dataBar>
      <extLst>
        <ext xmlns:x14="http://schemas.microsoft.com/office/spreadsheetml/2009/9/main" uri="{B025F937-C7B1-47D3-B67F-A62EFF666E3E}">
          <x14:id>{9FD523D2-45CA-45DA-93F8-59B772F50C00}</x14:id>
        </ext>
      </extLst>
    </cfRule>
  </conditionalFormatting>
  <conditionalFormatting sqref="D7:AF11">
    <cfRule type="expression" dxfId="337" priority="2" stopIfTrue="1">
      <formula>D7=Codice2</formula>
    </cfRule>
  </conditionalFormatting>
  <conditionalFormatting sqref="D7:AF11">
    <cfRule type="expression" dxfId="336" priority="3" stopIfTrue="1">
      <formula>D7=Codice5</formula>
    </cfRule>
    <cfRule type="expression" dxfId="335" priority="4" stopIfTrue="1">
      <formula>D7=Codice4</formula>
    </cfRule>
    <cfRule type="expression" dxfId="334" priority="5" stopIfTrue="1">
      <formula>D7=Codice3</formula>
    </cfRule>
    <cfRule type="expression" dxfId="333" priority="6" stopIfTrue="1">
      <formula>D7=Codice1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D523D2-45CA-45DA-93F8-59B772F50C00}">
            <x14:dataBar minLength="0" maxLength="100" border="1" negativeBarBorderColorSameAsPositive="0">
              <x14:cfvo type="autoMin"/>
              <x14:cfvo type="num">
                <xm:f>DATEDIF(DATE(AnnoCalendario,2,1),DATE(AnnoCalendario,3,1),"d")</xm:f>
              </x14:cfvo>
              <x14:borderColor theme="4"/>
              <x14:negativeFillColor rgb="FFFF0000"/>
              <x14:negativeBorderColor rgb="FFFF0000"/>
              <x14:axisColor rgb="FF000000"/>
            </x14:dataBar>
          </x14:cfRule>
          <xm:sqref>AM7:AM11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M263"/>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12" customWidth="1"/>
    <col min="2" max="2" width="12.42578125" style="12" bestFit="1" customWidth="1"/>
    <col min="3" max="3" width="28.85546875" style="13" customWidth="1"/>
    <col min="4"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39" s="1" customFormat="1" ht="42" customHeight="1">
      <c r="A1" s="35"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f>AnnoCalendario</f>
        <v>2012</v>
      </c>
    </row>
    <row r="2" spans="1:39" customFormat="1" ht="13.5"/>
    <row r="3" spans="1:39" s="30" customFormat="1" ht="12.75" customHeight="1">
      <c r="C3" s="42" t="str">
        <f>TestoLeggendaColori</f>
        <v xml:space="preserve">LEGGENDA COLORI </v>
      </c>
      <c r="D3" s="49" t="str">
        <f>Codice1</f>
        <v>I</v>
      </c>
      <c r="E3" s="65" t="str">
        <f>TestoCodice1</f>
        <v>In ritardo</v>
      </c>
      <c r="F3" s="57"/>
      <c r="H3" s="50" t="str">
        <f>Codice2</f>
        <v>G</v>
      </c>
      <c r="I3" s="54" t="str">
        <f>TestoCodice2</f>
        <v>Giustificato</v>
      </c>
      <c r="L3" s="51" t="str">
        <f>Codice3</f>
        <v>N</v>
      </c>
      <c r="M3" s="54" t="str">
        <f>TestoCodice3</f>
        <v>Non giustificato</v>
      </c>
      <c r="P3" s="52" t="str">
        <f>Codice4</f>
        <v>P</v>
      </c>
      <c r="Q3" s="54" t="str">
        <f>TestoCodice4</f>
        <v>Presente</v>
      </c>
      <c r="T3" s="53" t="str">
        <f>Codice5</f>
        <v>S</v>
      </c>
      <c r="U3" s="54" t="str">
        <f>TestoCodice5</f>
        <v>Scuola chiusa</v>
      </c>
      <c r="W3"/>
      <c r="X3"/>
      <c r="Y3"/>
      <c r="AD3" s="29"/>
      <c r="AE3" s="29"/>
      <c r="AH3" s="31"/>
      <c r="AI3" s="32"/>
      <c r="AK3" s="33"/>
    </row>
    <row r="4" spans="1:39" customFormat="1" ht="16.5" customHeight="1"/>
    <row r="5" spans="1:39" s="2" customFormat="1" ht="18" customHeight="1">
      <c r="B5" s="118">
        <f>DATE(AnnoCalendario+1,5,1)</f>
        <v>41395</v>
      </c>
      <c r="C5" s="58"/>
      <c r="D5" s="40" t="str">
        <f>TEXT(WEEKDAY(DATE(AnnoCalendario+1,5,1),1),"[$-410]aaa")</f>
        <v>1900</v>
      </c>
      <c r="E5" s="40" t="str">
        <f>TEXT(WEEKDAY(DATE(AnnoCalendario+1,5,2),1),"[$-410]aaa")</f>
        <v>1900</v>
      </c>
      <c r="F5" s="40" t="str">
        <f>TEXT(WEEKDAY(DATE(AnnoCalendario+1,5,3),1),"[$-410]aaa")</f>
        <v>1900</v>
      </c>
      <c r="G5" s="40" t="str">
        <f>TEXT(WEEKDAY(DATE(AnnoCalendario+1,5,4),1),"[$-410]aaa")</f>
        <v>1900</v>
      </c>
      <c r="H5" s="40" t="str">
        <f>TEXT(WEEKDAY(DATE(AnnoCalendario+1,5,5),1),"[$-410]aaa")</f>
        <v>1900</v>
      </c>
      <c r="I5" s="40" t="str">
        <f>TEXT(WEEKDAY(DATE(AnnoCalendario+1,5,6),1),"[$-410]aaa")</f>
        <v>1900</v>
      </c>
      <c r="J5" s="40" t="str">
        <f>TEXT(WEEKDAY(DATE(AnnoCalendario+1,5,7),1),"[$-410]aaa")</f>
        <v>1900</v>
      </c>
      <c r="K5" s="40" t="str">
        <f>TEXT(WEEKDAY(DATE(AnnoCalendario+1,5,8),1),"[$-410]aaa")</f>
        <v>1900</v>
      </c>
      <c r="L5" s="40" t="str">
        <f>TEXT(WEEKDAY(DATE(AnnoCalendario+1,5,9),1),"[$-410]aaa")</f>
        <v>1900</v>
      </c>
      <c r="M5" s="40" t="str">
        <f>TEXT(WEEKDAY(DATE(AnnoCalendario+1,5,10),1),"[$-410]aaa")</f>
        <v>1900</v>
      </c>
      <c r="N5" s="40" t="str">
        <f>TEXT(WEEKDAY(DATE(AnnoCalendario+1,5,11),1),"[$-410]aaa")</f>
        <v>1900</v>
      </c>
      <c r="O5" s="40" t="str">
        <f>TEXT(WEEKDAY(DATE(AnnoCalendario+1,5,12),1),"[$-410]aaa")</f>
        <v>1900</v>
      </c>
      <c r="P5" s="40" t="str">
        <f>TEXT(WEEKDAY(DATE(AnnoCalendario+1,5,13),1),"[$-410]aaa")</f>
        <v>1900</v>
      </c>
      <c r="Q5" s="40" t="str">
        <f>TEXT(WEEKDAY(DATE(AnnoCalendario+1,5,14),1),"[$-410]aaa")</f>
        <v>1900</v>
      </c>
      <c r="R5" s="40" t="str">
        <f>TEXT(WEEKDAY(DATE(AnnoCalendario+1,5,15),1),"[$-410]aaa")</f>
        <v>1900</v>
      </c>
      <c r="S5" s="40" t="str">
        <f>TEXT(WEEKDAY(DATE(AnnoCalendario+1,5,16),1),"[$-410]aaa")</f>
        <v>1900</v>
      </c>
      <c r="T5" s="40" t="str">
        <f>TEXT(WEEKDAY(DATE(AnnoCalendario+1,5,17),1),"[$-410]aaa")</f>
        <v>1900</v>
      </c>
      <c r="U5" s="40" t="str">
        <f>TEXT(WEEKDAY(DATE(AnnoCalendario+1,5,18),1),"[$-410]aaa")</f>
        <v>1900</v>
      </c>
      <c r="V5" s="40" t="str">
        <f>TEXT(WEEKDAY(DATE(AnnoCalendario+1,5,19),1),"[$-410]aaa")</f>
        <v>1900</v>
      </c>
      <c r="W5" s="40" t="str">
        <f>TEXT(WEEKDAY(DATE(AnnoCalendario+1,5,20),1),"[$-410]aaa")</f>
        <v>1900</v>
      </c>
      <c r="X5" s="40" t="str">
        <f>TEXT(WEEKDAY(DATE(AnnoCalendario+1,5,21),1),"[$-410]aaa")</f>
        <v>1900</v>
      </c>
      <c r="Y5" s="40" t="str">
        <f>TEXT(WEEKDAY(DATE(AnnoCalendario+1,5,22),1),"[$-410]aaa")</f>
        <v>1900</v>
      </c>
      <c r="Z5" s="40" t="str">
        <f>TEXT(WEEKDAY(DATE(AnnoCalendario+1,5,23),1),"[$-410]aaa")</f>
        <v>1900</v>
      </c>
      <c r="AA5" s="40" t="str">
        <f>TEXT(WEEKDAY(DATE(AnnoCalendario+1,5,24),1),"[$-410]aaa")</f>
        <v>1900</v>
      </c>
      <c r="AB5" s="40" t="str">
        <f>TEXT(WEEKDAY(DATE(AnnoCalendario+1,5,25),1),"[$-410]aaa")</f>
        <v>1900</v>
      </c>
      <c r="AC5" s="40" t="str">
        <f>TEXT(WEEKDAY(DATE(AnnoCalendario+1,5,26),1),"[$-410]aaa")</f>
        <v>1900</v>
      </c>
      <c r="AD5" s="40" t="str">
        <f>TEXT(WEEKDAY(DATE(AnnoCalendario+1,5,27),1),"[$-410]aaa")</f>
        <v>1900</v>
      </c>
      <c r="AE5" s="40" t="str">
        <f>TEXT(WEEKDAY(DATE(AnnoCalendario+1,5,28),1),"[$-410]aaa")</f>
        <v>1900</v>
      </c>
      <c r="AF5" s="40" t="str">
        <f>TEXT(WEEKDAY(DATE(AnnoCalendario+1,5,29),1),"[$-410]aaa")</f>
        <v>1900</v>
      </c>
      <c r="AG5" s="40" t="str">
        <f>TEXT(WEEKDAY(DATE(AnnoCalendario+1,5,30),1),"[$-410]aaa")</f>
        <v>1900</v>
      </c>
      <c r="AH5" s="40" t="str">
        <f>TEXT(WEEKDAY(DATE(AnnoCalendario+1,5,31),1),"[$-410]aaa")</f>
        <v>1900</v>
      </c>
      <c r="AI5" s="132" t="s">
        <v>38</v>
      </c>
      <c r="AJ5" s="132"/>
      <c r="AK5" s="132"/>
      <c r="AL5" s="132"/>
      <c r="AM5" s="132"/>
    </row>
    <row r="6" spans="1:39" ht="14.25" customHeight="1">
      <c r="B6" s="26" t="s">
        <v>34</v>
      </c>
      <c r="C6" s="27" t="s">
        <v>36</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30</v>
      </c>
      <c r="AI6" s="90" t="s">
        <v>132</v>
      </c>
      <c r="AJ6" s="66" t="s">
        <v>139</v>
      </c>
      <c r="AK6" s="67" t="s">
        <v>138</v>
      </c>
      <c r="AL6" s="68" t="s">
        <v>31</v>
      </c>
      <c r="AM6" t="s">
        <v>37</v>
      </c>
    </row>
    <row r="7" spans="1:39" ht="16.5" customHeight="1">
      <c r="B7" s="25"/>
      <c r="C7" s="21" t="str">
        <f>IFERROR(VLOOKUP(FrequenzaMaggio[[#This Row],[ID studente]],ElencoStudenti[],18,FALSE),"")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4">
        <f>COUNTIF(FrequenzaMaggio[[#This Row],[1]:[31]],Codice1)</f>
        <v>0</v>
      </c>
      <c r="AJ7" s="34">
        <f>COUNTIF(FrequenzaMaggio[[#This Row],[1]:[31]],Codice2)</f>
        <v>0</v>
      </c>
      <c r="AK7" s="34">
        <f>COUNTIF(FrequenzaMaggio[[#This Row],[1]:[31]],Codice3)</f>
        <v>0</v>
      </c>
      <c r="AL7" s="34">
        <f>COUNTIF(FrequenzaMaggio[[#This Row],[1]:[31]],Codice4)</f>
        <v>0</v>
      </c>
      <c r="AM7" s="7">
        <f>SUM(FrequenzaMaggio[[#This Row],[N]:[G]])</f>
        <v>0</v>
      </c>
    </row>
    <row r="8" spans="1:39" ht="16.5" customHeight="1">
      <c r="B8" s="25"/>
      <c r="C8" s="21" t="str">
        <f>IFERROR(VLOOKUP(FrequenzaMaggio[[#This Row],[ID studente]],ElencoStudenti[],18,FALSE),"")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4">
        <f>COUNTIF(FrequenzaMaggio[[#This Row],[1]:[31]],Codice1)</f>
        <v>0</v>
      </c>
      <c r="AJ8" s="34">
        <f>COUNTIF(FrequenzaMaggio[[#This Row],[1]:[31]],Codice2)</f>
        <v>0</v>
      </c>
      <c r="AK8" s="34">
        <f>COUNTIF(FrequenzaMaggio[[#This Row],[1]:[31]],Codice3)</f>
        <v>0</v>
      </c>
      <c r="AL8" s="34">
        <f>COUNTIF(FrequenzaMaggio[[#This Row],[1]:[31]],Codice4)</f>
        <v>0</v>
      </c>
      <c r="AM8" s="7">
        <f>SUM(FrequenzaMaggio[[#This Row],[N]:[G]])</f>
        <v>0</v>
      </c>
    </row>
    <row r="9" spans="1:39" ht="16.5" customHeight="1">
      <c r="B9" s="25"/>
      <c r="C9" s="21" t="str">
        <f>IFERROR(VLOOKUP(FrequenzaMaggio[[#This Row],[ID studente]],ElencoStudenti[],18,FALSE),"")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4">
        <f>COUNTIF(FrequenzaMaggio[[#This Row],[1]:[31]],Codice1)</f>
        <v>0</v>
      </c>
      <c r="AJ9" s="34">
        <f>COUNTIF(FrequenzaMaggio[[#This Row],[1]:[31]],Codice2)</f>
        <v>0</v>
      </c>
      <c r="AK9" s="34">
        <f>COUNTIF(FrequenzaMaggio[[#This Row],[1]:[31]],Codice3)</f>
        <v>0</v>
      </c>
      <c r="AL9" s="34">
        <f>COUNTIF(FrequenzaMaggio[[#This Row],[1]:[31]],Codice4)</f>
        <v>0</v>
      </c>
      <c r="AM9" s="7">
        <f>SUM(FrequenzaMaggio[[#This Row],[N]:[G]])</f>
        <v>0</v>
      </c>
    </row>
    <row r="10" spans="1:39" ht="16.5" customHeight="1">
      <c r="B10" s="25"/>
      <c r="C10" s="21" t="str">
        <f>IFERROR(VLOOKUP(FrequenzaMaggio[[#This Row],[ID studente]],ElencoStudenti[],18,FALSE),"")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4">
        <f>COUNTIF(FrequenzaMaggio[[#This Row],[1]:[31]],Codice1)</f>
        <v>0</v>
      </c>
      <c r="AJ10" s="34">
        <f>COUNTIF(FrequenzaMaggio[[#This Row],[1]:[31]],Codice2)</f>
        <v>0</v>
      </c>
      <c r="AK10" s="34">
        <f>COUNTIF(FrequenzaMaggio[[#This Row],[1]:[31]],Codice3)</f>
        <v>0</v>
      </c>
      <c r="AL10" s="34">
        <f>COUNTIF(FrequenzaMaggio[[#This Row],[1]:[31]],Codice4)</f>
        <v>0</v>
      </c>
      <c r="AM10" s="7">
        <f>SUM(FrequenzaMaggio[[#This Row],[N]:[G]])</f>
        <v>0</v>
      </c>
    </row>
    <row r="11" spans="1:39" ht="16.5" customHeight="1">
      <c r="B11" s="25"/>
      <c r="C11" s="21" t="str">
        <f>IFERROR(VLOOKUP(FrequenzaMaggio[[#This Row],[ID studente]],ElencoStudenti[],18,FALSE),"")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4">
        <f>COUNTIF(FrequenzaMaggio[[#This Row],[1]:[31]],Codice1)</f>
        <v>0</v>
      </c>
      <c r="AJ11" s="34">
        <f>COUNTIF(FrequenzaMaggio[[#This Row],[1]:[31]],Codice2)</f>
        <v>0</v>
      </c>
      <c r="AK11" s="34">
        <f>COUNTIF(FrequenzaMaggio[[#This Row],[1]:[31]],Codice3)</f>
        <v>0</v>
      </c>
      <c r="AL11" s="34">
        <f>COUNTIF(FrequenzaMaggio[[#This Row],[1]:[31]],Codice4)</f>
        <v>0</v>
      </c>
      <c r="AM11" s="7">
        <f>SUM(FrequenzaMaggio[[#This Row],[N]:[G]])</f>
        <v>0</v>
      </c>
    </row>
    <row r="12" spans="1:39" s="119" customFormat="1" ht="16.5" customHeight="1">
      <c r="B12" s="115"/>
      <c r="C12" s="4" t="s">
        <v>114</v>
      </c>
      <c r="D12" s="115">
        <f>COUNTIF(FrequenzaMaggio[1],"N")+COUNTIF(FrequenzaMaggio[1],"G")</f>
        <v>0</v>
      </c>
      <c r="E12" s="115">
        <f>COUNTIF(FrequenzaMaggio[2],"N")+COUNTIF(FrequenzaMaggio[2],"G")</f>
        <v>0</v>
      </c>
      <c r="F12" s="115">
        <f>COUNTIF(FrequenzaMaggio[3],"N")+COUNTIF(FrequenzaMaggio[3],"G")</f>
        <v>0</v>
      </c>
      <c r="G12" s="115">
        <f>COUNTIF(FrequenzaMaggio[4],"N")+COUNTIF(FrequenzaMaggio[4],"G")</f>
        <v>0</v>
      </c>
      <c r="H12" s="115">
        <f>COUNTIF(FrequenzaMaggio[5],"N")+COUNTIF(FrequenzaMaggio[5],"G")</f>
        <v>0</v>
      </c>
      <c r="I12" s="115">
        <f>COUNTIF(FrequenzaMaggio[6],"N")+COUNTIF(FrequenzaMaggio[6],"G")</f>
        <v>0</v>
      </c>
      <c r="J12" s="115">
        <f>COUNTIF(FrequenzaMaggio[7],"N")+COUNTIF(FrequenzaMaggio[7],"G")</f>
        <v>0</v>
      </c>
      <c r="K12" s="115">
        <f>COUNTIF(FrequenzaMaggio[8],"N")+COUNTIF(FrequenzaMaggio[8],"G")</f>
        <v>0</v>
      </c>
      <c r="L12" s="115">
        <f>COUNTIF(FrequenzaMaggio[9],"N")+COUNTIF(FrequenzaMaggio[9],"G")</f>
        <v>0</v>
      </c>
      <c r="M12" s="115">
        <f>COUNTIF(FrequenzaMaggio[10],"N")+COUNTIF(FrequenzaMaggio[10],"G")</f>
        <v>0</v>
      </c>
      <c r="N12" s="115">
        <f>COUNTIF(FrequenzaMaggio[11],"N")+COUNTIF(FrequenzaMaggio[11],"G")</f>
        <v>0</v>
      </c>
      <c r="O12" s="115">
        <f>COUNTIF(FrequenzaMaggio[12],"N")+COUNTIF(FrequenzaMaggio[12],"G")</f>
        <v>0</v>
      </c>
      <c r="P12" s="115">
        <f>COUNTIF(FrequenzaMaggio[13],"N")+COUNTIF(FrequenzaMaggio[13],"G")</f>
        <v>0</v>
      </c>
      <c r="Q12" s="115">
        <f>COUNTIF(FrequenzaMaggio[14],"N")+COUNTIF(FrequenzaMaggio[14],"G")</f>
        <v>0</v>
      </c>
      <c r="R12" s="115">
        <f>COUNTIF(FrequenzaMaggio[15],"N")+COUNTIF(FrequenzaMaggio[15],"G")</f>
        <v>0</v>
      </c>
      <c r="S12" s="115">
        <f>COUNTIF(FrequenzaMaggio[16],"N")+COUNTIF(FrequenzaMaggio[16],"G")</f>
        <v>0</v>
      </c>
      <c r="T12" s="115">
        <f>COUNTIF(FrequenzaMaggio[17],"N")+COUNTIF(FrequenzaMaggio[17],"G")</f>
        <v>0</v>
      </c>
      <c r="U12" s="115">
        <f>COUNTIF(FrequenzaMaggio[18],"N")+COUNTIF(FrequenzaMaggio[18],"G")</f>
        <v>0</v>
      </c>
      <c r="V12" s="115">
        <f>COUNTIF(FrequenzaMaggio[19],"N")+COUNTIF(FrequenzaMaggio[19],"G")</f>
        <v>0</v>
      </c>
      <c r="W12" s="115">
        <f>COUNTIF(FrequenzaMaggio[20],"N")+COUNTIF(FrequenzaMaggio[20],"G")</f>
        <v>0</v>
      </c>
      <c r="X12" s="115">
        <f>COUNTIF(FrequenzaMaggio[21],"N")+COUNTIF(FrequenzaMaggio[21],"G")</f>
        <v>0</v>
      </c>
      <c r="Y12" s="115">
        <f>COUNTIF(FrequenzaMaggio[22],"N")+COUNTIF(FrequenzaMaggio[22],"G")</f>
        <v>0</v>
      </c>
      <c r="Z12" s="115">
        <f>COUNTIF(FrequenzaMaggio[23],"N")+COUNTIF(FrequenzaMaggio[23],"G")</f>
        <v>0</v>
      </c>
      <c r="AA12" s="115">
        <f>COUNTIF(FrequenzaMaggio[24],"N")+COUNTIF(FrequenzaMaggio[24],"G")</f>
        <v>0</v>
      </c>
      <c r="AB12" s="115">
        <f>COUNTIF(FrequenzaMaggio[25],"N")+COUNTIF(FrequenzaMaggio[25],"G")</f>
        <v>0</v>
      </c>
      <c r="AC12" s="115">
        <f>COUNTIF(FrequenzaMaggio[26],"N")+COUNTIF(FrequenzaMaggio[26],"G")</f>
        <v>0</v>
      </c>
      <c r="AD12" s="115">
        <f>COUNTIF(FrequenzaMaggio[27],"N")+COUNTIF(FrequenzaMaggio[27],"G")</f>
        <v>0</v>
      </c>
      <c r="AE12" s="115">
        <f>COUNTIF(FrequenzaMaggio[28],"N")+COUNTIF(FrequenzaMaggio[28],"G")</f>
        <v>0</v>
      </c>
      <c r="AF12" s="115">
        <f>COUNTIF(FrequenzaMaggio[29],"N")+COUNTIF(FrequenzaMaggio[29],"G")</f>
        <v>0</v>
      </c>
      <c r="AG12" s="115">
        <f>COUNTIF(FrequenzaMaggio[30],"N")+COUNTIF(FrequenzaMaggio[30],"G")</f>
        <v>0</v>
      </c>
      <c r="AH12" s="115">
        <f>COUNTIF(FrequenzaMaggio[31],"N")+COUNTIF(FrequenzaMaggio[31],"G")</f>
        <v>0</v>
      </c>
      <c r="AI12" s="115">
        <f>SUBTOTAL(109,FrequenzaMaggio[I])</f>
        <v>0</v>
      </c>
      <c r="AJ12" s="115">
        <f>SUBTOTAL(109,FrequenzaMaggio[N])</f>
        <v>0</v>
      </c>
      <c r="AK12" s="115">
        <f>SUBTOTAL(109,FrequenzaMaggio[G])</f>
        <v>0</v>
      </c>
      <c r="AL12" s="115">
        <f>SUBTOTAL(109,FrequenzaMaggio[P])</f>
        <v>0</v>
      </c>
      <c r="AM12" s="115">
        <f>SUBTOTAL(109,FrequenzaMaggio[Giorni di assenza])</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AM7:AM11">
    <cfRule type="dataBar" priority="1">
      <dataBar>
        <cfvo type="min"/>
        <cfvo type="num" val="DATEDIF(DATE(AnnoCalendario,2,1),DATE(AnnoCalendario,3,1),&quot;d&quot;)"/>
        <color theme="4"/>
      </dataBar>
      <extLst>
        <ext xmlns:x14="http://schemas.microsoft.com/office/spreadsheetml/2009/9/main" uri="{B025F937-C7B1-47D3-B67F-A62EFF666E3E}">
          <x14:id>{075C44B9-B707-434A-A9F0-95252D34B3EF}</x14:id>
        </ext>
      </extLst>
    </cfRule>
  </conditionalFormatting>
  <conditionalFormatting sqref="D7:AF11">
    <cfRule type="expression" dxfId="254" priority="2" stopIfTrue="1">
      <formula>D7=Codice2</formula>
    </cfRule>
  </conditionalFormatting>
  <conditionalFormatting sqref="D7:AF11">
    <cfRule type="expression" dxfId="253" priority="3" stopIfTrue="1">
      <formula>D7=Codice5</formula>
    </cfRule>
    <cfRule type="expression" dxfId="252" priority="4" stopIfTrue="1">
      <formula>D7=Codice4</formula>
    </cfRule>
    <cfRule type="expression" dxfId="251" priority="5" stopIfTrue="1">
      <formula>D7=Codice3</formula>
    </cfRule>
    <cfRule type="expression" dxfId="250" priority="6" stopIfTrue="1">
      <formula>D7=Codice1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75C44B9-B707-434A-A9F0-95252D34B3EF}">
            <x14:dataBar minLength="0" maxLength="100" border="1" negativeBarBorderColorSameAsPositive="0">
              <x14:cfvo type="autoMin"/>
              <x14:cfvo type="num">
                <xm:f>DATEDIF(DATE(AnnoCalendario,2,1),DATE(AnnoCalendario,3,1),"d")</xm:f>
              </x14:cfvo>
              <x14:borderColor theme="4"/>
              <x14:negativeFillColor rgb="FFFF0000"/>
              <x14:negativeBorderColor rgb="FFFF0000"/>
              <x14:axisColor rgb="FF000000"/>
            </x14:dataBar>
          </x14:cfRule>
          <xm:sqref>AM7:AM11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M263"/>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12" customWidth="1"/>
    <col min="2" max="2" width="12.42578125" style="12" bestFit="1" customWidth="1"/>
    <col min="3" max="3" width="28.85546875" style="13" customWidth="1"/>
    <col min="4"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39" s="1" customFormat="1" ht="42" customHeight="1">
      <c r="A1" s="35"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f>AnnoCalendario</f>
        <v>2012</v>
      </c>
    </row>
    <row r="2" spans="1:39" customFormat="1" ht="13.5"/>
    <row r="3" spans="1:39" s="30" customFormat="1" ht="12.75" customHeight="1">
      <c r="C3" s="42" t="str">
        <f>TestoLeggendaColori</f>
        <v xml:space="preserve">LEGGENDA COLORI </v>
      </c>
      <c r="D3" s="49" t="str">
        <f>Codice1</f>
        <v>I</v>
      </c>
      <c r="E3" s="65" t="str">
        <f>TestoCodice1</f>
        <v>In ritardo</v>
      </c>
      <c r="F3" s="57"/>
      <c r="H3" s="50" t="str">
        <f>Codice2</f>
        <v>G</v>
      </c>
      <c r="I3" s="54" t="str">
        <f>TestoCodice2</f>
        <v>Giustificato</v>
      </c>
      <c r="L3" s="51" t="str">
        <f>Codice3</f>
        <v>N</v>
      </c>
      <c r="M3" s="54" t="str">
        <f>TestoCodice3</f>
        <v>Non giustificato</v>
      </c>
      <c r="P3" s="52" t="str">
        <f>Codice4</f>
        <v>P</v>
      </c>
      <c r="Q3" s="54" t="str">
        <f>TestoCodice4</f>
        <v>Presente</v>
      </c>
      <c r="T3" s="53" t="str">
        <f>Codice5</f>
        <v>S</v>
      </c>
      <c r="U3" s="54" t="str">
        <f>TestoCodice5</f>
        <v>Scuola chiusa</v>
      </c>
      <c r="W3"/>
      <c r="X3"/>
      <c r="Y3"/>
      <c r="AD3" s="29"/>
      <c r="AE3" s="29"/>
      <c r="AH3" s="31"/>
      <c r="AI3" s="32"/>
      <c r="AK3" s="33"/>
    </row>
    <row r="4" spans="1:39" customFormat="1" ht="16.5" customHeight="1"/>
    <row r="5" spans="1:39" s="2" customFormat="1" ht="18" customHeight="1">
      <c r="B5" s="118">
        <f>DATE(AnnoCalendario+1,6,1)</f>
        <v>41426</v>
      </c>
      <c r="C5" s="58"/>
      <c r="D5" s="40" t="str">
        <f>TEXT(WEEKDAY(DATE(AnnoCalendario+1,6,1),1),"[$-410]aaa")</f>
        <v>1900</v>
      </c>
      <c r="E5" s="40" t="str">
        <f>TEXT(WEEKDAY(DATE(AnnoCalendario+1,6,2),1),"[$-410]aaa")</f>
        <v>1900</v>
      </c>
      <c r="F5" s="40" t="str">
        <f>TEXT(WEEKDAY(DATE(AnnoCalendario+1,6,3),1),"[$-410]aaa")</f>
        <v>1900</v>
      </c>
      <c r="G5" s="40" t="str">
        <f>TEXT(WEEKDAY(DATE(AnnoCalendario+1,6,4),1),"[$-410]aaa")</f>
        <v>1900</v>
      </c>
      <c r="H5" s="40" t="str">
        <f>TEXT(WEEKDAY(DATE(AnnoCalendario+1,6,5),1),"[$-410]aaa")</f>
        <v>1900</v>
      </c>
      <c r="I5" s="40" t="str">
        <f>TEXT(WEEKDAY(DATE(AnnoCalendario+1,6,6),1),"[$-410]aaa")</f>
        <v>1900</v>
      </c>
      <c r="J5" s="40" t="str">
        <f>TEXT(WEEKDAY(DATE(AnnoCalendario+1,6,7),1),"[$-410]aaa")</f>
        <v>1900</v>
      </c>
      <c r="K5" s="40" t="str">
        <f>TEXT(WEEKDAY(DATE(AnnoCalendario+1,6,8),1),"[$-410]aaa")</f>
        <v>1900</v>
      </c>
      <c r="L5" s="40" t="str">
        <f>TEXT(WEEKDAY(DATE(AnnoCalendario+1,6,9),1),"[$-410]aaa")</f>
        <v>1900</v>
      </c>
      <c r="M5" s="40" t="str">
        <f>TEXT(WEEKDAY(DATE(AnnoCalendario+1,6,10),1),"[$-410]aaa")</f>
        <v>1900</v>
      </c>
      <c r="N5" s="40" t="str">
        <f>TEXT(WEEKDAY(DATE(AnnoCalendario+1,6,11),1),"[$-410]aaa")</f>
        <v>1900</v>
      </c>
      <c r="O5" s="40" t="str">
        <f>TEXT(WEEKDAY(DATE(AnnoCalendario+1,6,12),1),"[$-410]aaa")</f>
        <v>1900</v>
      </c>
      <c r="P5" s="40" t="str">
        <f>TEXT(WEEKDAY(DATE(AnnoCalendario+1,6,13),1),"[$-410]aaa")</f>
        <v>1900</v>
      </c>
      <c r="Q5" s="40" t="str">
        <f>TEXT(WEEKDAY(DATE(AnnoCalendario+1,6,14),1),"[$-410]aaa")</f>
        <v>1900</v>
      </c>
      <c r="R5" s="40" t="str">
        <f>TEXT(WEEKDAY(DATE(AnnoCalendario+1,6,15),1),"[$-410]aaa")</f>
        <v>1900</v>
      </c>
      <c r="S5" s="40" t="str">
        <f>TEXT(WEEKDAY(DATE(AnnoCalendario+1,6,16),1),"[$-410]aaa")</f>
        <v>1900</v>
      </c>
      <c r="T5" s="40" t="str">
        <f>TEXT(WEEKDAY(DATE(AnnoCalendario+1,6,17),1),"[$-410]aaa")</f>
        <v>1900</v>
      </c>
      <c r="U5" s="40" t="str">
        <f>TEXT(WEEKDAY(DATE(AnnoCalendario+1,6,18),1),"[$-410]aaa")</f>
        <v>1900</v>
      </c>
      <c r="V5" s="40" t="str">
        <f>TEXT(WEEKDAY(DATE(AnnoCalendario+1,6,19),1),"[$-410]aaa")</f>
        <v>1900</v>
      </c>
      <c r="W5" s="40" t="str">
        <f>TEXT(WEEKDAY(DATE(AnnoCalendario+1,6,20),1),"[$-410]aaa")</f>
        <v>1900</v>
      </c>
      <c r="X5" s="40" t="str">
        <f>TEXT(WEEKDAY(DATE(AnnoCalendario+1,6,21),1),"[$-410]aaa")</f>
        <v>1900</v>
      </c>
      <c r="Y5" s="40" t="str">
        <f>TEXT(WEEKDAY(DATE(AnnoCalendario+1,6,22),1),"[$-410]aaa")</f>
        <v>1900</v>
      </c>
      <c r="Z5" s="40" t="str">
        <f>TEXT(WEEKDAY(DATE(AnnoCalendario+1,6,23),1),"[$-410]aaa")</f>
        <v>1900</v>
      </c>
      <c r="AA5" s="40" t="str">
        <f>TEXT(WEEKDAY(DATE(AnnoCalendario+1,6,24),1),"[$-410]aaa")</f>
        <v>1900</v>
      </c>
      <c r="AB5" s="40" t="str">
        <f>TEXT(WEEKDAY(DATE(AnnoCalendario+1,6,25),1),"[$-410]aaa")</f>
        <v>1900</v>
      </c>
      <c r="AC5" s="40" t="str">
        <f>TEXT(WEEKDAY(DATE(AnnoCalendario+1,6,26),1),"[$-410]aaa")</f>
        <v>1900</v>
      </c>
      <c r="AD5" s="40" t="str">
        <f>TEXT(WEEKDAY(DATE(AnnoCalendario+1,6,27),1),"[$-410]aaa")</f>
        <v>1900</v>
      </c>
      <c r="AE5" s="40" t="str">
        <f>TEXT(WEEKDAY(DATE(AnnoCalendario+1,6,28),1),"[$-410]aaa")</f>
        <v>1900</v>
      </c>
      <c r="AF5" s="40" t="str">
        <f>TEXT(WEEKDAY(DATE(AnnoCalendario+1,6,29),1),"[$-410]aaa")</f>
        <v>1900</v>
      </c>
      <c r="AG5" s="40" t="str">
        <f>TEXT(WEEKDAY(DATE(AnnoCalendario+1,6,30),1),"[$-410]aaa")</f>
        <v>1900</v>
      </c>
      <c r="AH5" s="40"/>
      <c r="AI5" s="132" t="s">
        <v>38</v>
      </c>
      <c r="AJ5" s="132"/>
      <c r="AK5" s="132"/>
      <c r="AL5" s="132"/>
      <c r="AM5" s="132"/>
    </row>
    <row r="6" spans="1:39" ht="14.25" customHeight="1">
      <c r="B6" s="26" t="s">
        <v>34</v>
      </c>
      <c r="C6" s="27" t="s">
        <v>36</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113</v>
      </c>
      <c r="AI6" s="90" t="s">
        <v>132</v>
      </c>
      <c r="AJ6" s="66" t="s">
        <v>139</v>
      </c>
      <c r="AK6" s="67" t="s">
        <v>138</v>
      </c>
      <c r="AL6" s="68" t="s">
        <v>31</v>
      </c>
      <c r="AM6" t="s">
        <v>37</v>
      </c>
    </row>
    <row r="7" spans="1:39" ht="16.5" customHeight="1">
      <c r="B7" s="25"/>
      <c r="C7" s="21" t="str">
        <f>IFERROR(VLOOKUP(FrequenzaGiugno[[#This Row],[ID studente]],ElencoStudenti[],18,FALSE),"")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4">
        <f>COUNTIF(FrequenzaGiugno[[#This Row],[1]:[ ]],Codice1)</f>
        <v>0</v>
      </c>
      <c r="AJ7" s="34">
        <f>COUNTIF(FrequenzaGiugno[[#This Row],[1]:[ ]],Codice2)</f>
        <v>0</v>
      </c>
      <c r="AK7" s="34">
        <f>COUNTIF(FrequenzaGiugno[[#This Row],[1]:[ ]],Codice3)</f>
        <v>0</v>
      </c>
      <c r="AL7" s="34">
        <f>COUNTIF(FrequenzaGiugno[[#This Row],[1]:[ ]],Codice4)</f>
        <v>0</v>
      </c>
      <c r="AM7" s="7">
        <f>SUM(FrequenzaGiugno[[#This Row],[N]:[G]])</f>
        <v>0</v>
      </c>
    </row>
    <row r="8" spans="1:39" ht="16.5" customHeight="1">
      <c r="B8" s="25"/>
      <c r="C8" s="21" t="str">
        <f>IFERROR(VLOOKUP(FrequenzaGiugno[[#This Row],[ID studente]],ElencoStudenti[],18,FALSE),"")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4">
        <f>COUNTIF(FrequenzaGiugno[[#This Row],[1]:[ ]],Codice1)</f>
        <v>0</v>
      </c>
      <c r="AJ8" s="34">
        <f>COUNTIF(FrequenzaGiugno[[#This Row],[1]:[ ]],Codice2)</f>
        <v>0</v>
      </c>
      <c r="AK8" s="34">
        <f>COUNTIF(FrequenzaGiugno[[#This Row],[1]:[ ]],Codice3)</f>
        <v>0</v>
      </c>
      <c r="AL8" s="34">
        <f>COUNTIF(FrequenzaGiugno[[#This Row],[1]:[ ]],Codice4)</f>
        <v>0</v>
      </c>
      <c r="AM8" s="7">
        <f>SUM(FrequenzaGiugno[[#This Row],[N]:[G]])</f>
        <v>0</v>
      </c>
    </row>
    <row r="9" spans="1:39" ht="16.5" customHeight="1">
      <c r="B9" s="25"/>
      <c r="C9" s="21" t="str">
        <f>IFERROR(VLOOKUP(FrequenzaGiugno[[#This Row],[ID studente]],ElencoStudenti[],18,FALSE),"")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4">
        <f>COUNTIF(FrequenzaGiugno[[#This Row],[1]:[ ]],Codice1)</f>
        <v>0</v>
      </c>
      <c r="AJ9" s="34">
        <f>COUNTIF(FrequenzaGiugno[[#This Row],[1]:[ ]],Codice2)</f>
        <v>0</v>
      </c>
      <c r="AK9" s="34">
        <f>COUNTIF(FrequenzaGiugno[[#This Row],[1]:[ ]],Codice3)</f>
        <v>0</v>
      </c>
      <c r="AL9" s="34">
        <f>COUNTIF(FrequenzaGiugno[[#This Row],[1]:[ ]],Codice4)</f>
        <v>0</v>
      </c>
      <c r="AM9" s="7">
        <f>SUM(FrequenzaGiugno[[#This Row],[N]:[G]])</f>
        <v>0</v>
      </c>
    </row>
    <row r="10" spans="1:39" ht="16.5" customHeight="1">
      <c r="B10" s="25"/>
      <c r="C10" s="21" t="str">
        <f>IFERROR(VLOOKUP(FrequenzaGiugno[[#This Row],[ID studente]],ElencoStudenti[],18,FALSE),"")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4">
        <f>COUNTIF(FrequenzaGiugno[[#This Row],[1]:[ ]],Codice1)</f>
        <v>0</v>
      </c>
      <c r="AJ10" s="34">
        <f>COUNTIF(FrequenzaGiugno[[#This Row],[1]:[ ]],Codice2)</f>
        <v>0</v>
      </c>
      <c r="AK10" s="34">
        <f>COUNTIF(FrequenzaGiugno[[#This Row],[1]:[ ]],Codice3)</f>
        <v>0</v>
      </c>
      <c r="AL10" s="34">
        <f>COUNTIF(FrequenzaGiugno[[#This Row],[1]:[ ]],Codice4)</f>
        <v>0</v>
      </c>
      <c r="AM10" s="7">
        <f>SUM(FrequenzaGiugno[[#This Row],[N]:[G]])</f>
        <v>0</v>
      </c>
    </row>
    <row r="11" spans="1:39" ht="16.5" customHeight="1">
      <c r="B11" s="25"/>
      <c r="C11" s="21" t="str">
        <f>IFERROR(VLOOKUP(FrequenzaGiugno[[#This Row],[ID studente]],ElencoStudenti[],18,FALSE),"")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4">
        <f>COUNTIF(FrequenzaGiugno[[#This Row],[1]:[ ]],Codice1)</f>
        <v>0</v>
      </c>
      <c r="AJ11" s="34">
        <f>COUNTIF(FrequenzaGiugno[[#This Row],[1]:[ ]],Codice2)</f>
        <v>0</v>
      </c>
      <c r="AK11" s="34">
        <f>COUNTIF(FrequenzaGiugno[[#This Row],[1]:[ ]],Codice3)</f>
        <v>0</v>
      </c>
      <c r="AL11" s="34">
        <f>COUNTIF(FrequenzaGiugno[[#This Row],[1]:[ ]],Codice4)</f>
        <v>0</v>
      </c>
      <c r="AM11" s="7">
        <f>SUM(FrequenzaGiugno[[#This Row],[N]:[G]])</f>
        <v>0</v>
      </c>
    </row>
    <row r="12" spans="1:39" s="119" customFormat="1" ht="16.5" customHeight="1">
      <c r="B12" s="115"/>
      <c r="C12" s="4" t="s">
        <v>114</v>
      </c>
      <c r="D12" s="115">
        <f>COUNTIF(FrequenzaGiugno[1],"N")+COUNTIF(FrequenzaGiugno[1],"G")</f>
        <v>0</v>
      </c>
      <c r="E12" s="115">
        <f>COUNTIF(FrequenzaGiugno[2],"N")+COUNTIF(FrequenzaGiugno[2],"G")</f>
        <v>0</v>
      </c>
      <c r="F12" s="115">
        <f>COUNTIF(FrequenzaGiugno[3],"N")+COUNTIF(FrequenzaGiugno[3],"G")</f>
        <v>0</v>
      </c>
      <c r="G12" s="115">
        <f>COUNTIF(FrequenzaGiugno[4],"N")+COUNTIF(FrequenzaGiugno[4],"G")</f>
        <v>0</v>
      </c>
      <c r="H12" s="115">
        <f>COUNTIF(FrequenzaGiugno[5],"N")+COUNTIF(FrequenzaGiugno[5],"G")</f>
        <v>0</v>
      </c>
      <c r="I12" s="115">
        <f>COUNTIF(FrequenzaGiugno[6],"N")+COUNTIF(FrequenzaGiugno[6],"G")</f>
        <v>0</v>
      </c>
      <c r="J12" s="115">
        <f>COUNTIF(FrequenzaGiugno[7],"N")+COUNTIF(FrequenzaGiugno[7],"G")</f>
        <v>0</v>
      </c>
      <c r="K12" s="115">
        <f>COUNTIF(FrequenzaGiugno[8],"N")+COUNTIF(FrequenzaGiugno[8],"G")</f>
        <v>0</v>
      </c>
      <c r="L12" s="115">
        <f>COUNTIF(FrequenzaGiugno[9],"N")+COUNTIF(FrequenzaGiugno[9],"G")</f>
        <v>0</v>
      </c>
      <c r="M12" s="115">
        <f>COUNTIF(FrequenzaGiugno[10],"N")+COUNTIF(FrequenzaGiugno[10],"G")</f>
        <v>0</v>
      </c>
      <c r="N12" s="115">
        <f>COUNTIF(FrequenzaGiugno[11],"N")+COUNTIF(FrequenzaGiugno[11],"G")</f>
        <v>0</v>
      </c>
      <c r="O12" s="115">
        <f>COUNTIF(FrequenzaGiugno[12],"N")+COUNTIF(FrequenzaGiugno[12],"G")</f>
        <v>0</v>
      </c>
      <c r="P12" s="115">
        <f>COUNTIF(FrequenzaGiugno[13],"N")+COUNTIF(FrequenzaGiugno[13],"G")</f>
        <v>0</v>
      </c>
      <c r="Q12" s="115">
        <f>COUNTIF(FrequenzaGiugno[14],"N")+COUNTIF(FrequenzaGiugno[14],"G")</f>
        <v>0</v>
      </c>
      <c r="R12" s="115">
        <f>COUNTIF(FrequenzaGiugno[15],"N")+COUNTIF(FrequenzaGiugno[15],"G")</f>
        <v>0</v>
      </c>
      <c r="S12" s="115">
        <f>COUNTIF(FrequenzaGiugno[16],"N")+COUNTIF(FrequenzaGiugno[16],"G")</f>
        <v>0</v>
      </c>
      <c r="T12" s="115">
        <f>COUNTIF(FrequenzaGiugno[17],"N")+COUNTIF(FrequenzaGiugno[17],"G")</f>
        <v>0</v>
      </c>
      <c r="U12" s="115">
        <f>COUNTIF(FrequenzaGiugno[18],"N")+COUNTIF(FrequenzaGiugno[18],"G")</f>
        <v>0</v>
      </c>
      <c r="V12" s="115">
        <f>COUNTIF(FrequenzaGiugno[19],"N")+COUNTIF(FrequenzaGiugno[19],"G")</f>
        <v>0</v>
      </c>
      <c r="W12" s="115">
        <f>COUNTIF(FrequenzaGiugno[20],"N")+COUNTIF(FrequenzaGiugno[20],"G")</f>
        <v>0</v>
      </c>
      <c r="X12" s="115">
        <f>COUNTIF(FrequenzaGiugno[21],"N")+COUNTIF(FrequenzaGiugno[21],"G")</f>
        <v>0</v>
      </c>
      <c r="Y12" s="115">
        <f>COUNTIF(FrequenzaGiugno[22],"N")+COUNTIF(FrequenzaGiugno[22],"G")</f>
        <v>0</v>
      </c>
      <c r="Z12" s="115">
        <f>COUNTIF(FrequenzaGiugno[23],"N")+COUNTIF(FrequenzaGiugno[23],"G")</f>
        <v>0</v>
      </c>
      <c r="AA12" s="115">
        <f>COUNTIF(FrequenzaGiugno[24],"N")+COUNTIF(FrequenzaGiugno[24],"G")</f>
        <v>0</v>
      </c>
      <c r="AB12" s="115">
        <f>COUNTIF(FrequenzaGiugno[25],"N")+COUNTIF(FrequenzaGiugno[25],"G")</f>
        <v>0</v>
      </c>
      <c r="AC12" s="115">
        <f>COUNTIF(FrequenzaGiugno[26],"N")+COUNTIF(FrequenzaGiugno[26],"G")</f>
        <v>0</v>
      </c>
      <c r="AD12" s="115">
        <f>COUNTIF(FrequenzaGiugno[27],"N")+COUNTIF(FrequenzaGiugno[27],"G")</f>
        <v>0</v>
      </c>
      <c r="AE12" s="115">
        <f>COUNTIF(FrequenzaGiugno[28],"N")+COUNTIF(FrequenzaGiugno[28],"G")</f>
        <v>0</v>
      </c>
      <c r="AF12" s="115">
        <f>COUNTIF(FrequenzaGiugno[29],"N")+COUNTIF(FrequenzaGiugno[29],"G")</f>
        <v>0</v>
      </c>
      <c r="AG12" s="115">
        <f>COUNTIF(FrequenzaGiugno[30],"N")+COUNTIF(FrequenzaGiugno[30],"G")</f>
        <v>0</v>
      </c>
      <c r="AH12" s="115"/>
      <c r="AI12" s="115">
        <f>SUBTOTAL(109,FrequenzaGiugno[I])</f>
        <v>0</v>
      </c>
      <c r="AJ12" s="115">
        <f>SUBTOTAL(105,FrequenzaGiugno[N])</f>
        <v>0</v>
      </c>
      <c r="AK12" s="115">
        <f>SUBTOTAL(109,FrequenzaGiugno[G])</f>
        <v>0</v>
      </c>
      <c r="AL12" s="115">
        <f>SUBTOTAL(109,FrequenzaGiugno[P])</f>
        <v>0</v>
      </c>
      <c r="AM12" s="115">
        <f>SUBTOTAL(109,FrequenzaGiugno[Giorni di assenza])</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AM7:AM11">
    <cfRule type="dataBar" priority="1">
      <dataBar>
        <cfvo type="min"/>
        <cfvo type="num" val="DATEDIF(DATE(AnnoCalendario,2,1),DATE(AnnoCalendario,3,1),&quot;d&quot;)"/>
        <color theme="4"/>
      </dataBar>
      <extLst>
        <ext xmlns:x14="http://schemas.microsoft.com/office/spreadsheetml/2009/9/main" uri="{B025F937-C7B1-47D3-B67F-A62EFF666E3E}">
          <x14:id>{22C67C28-76AD-46BA-A7A2-13A61F3247FE}</x14:id>
        </ext>
      </extLst>
    </cfRule>
  </conditionalFormatting>
  <conditionalFormatting sqref="D7:AF11">
    <cfRule type="expression" dxfId="171" priority="2" stopIfTrue="1">
      <formula>D7=Codice2</formula>
    </cfRule>
  </conditionalFormatting>
  <conditionalFormatting sqref="D7:AF11">
    <cfRule type="expression" dxfId="170" priority="3" stopIfTrue="1">
      <formula>D7=Codice5</formula>
    </cfRule>
    <cfRule type="expression" dxfId="169" priority="4" stopIfTrue="1">
      <formula>D7=Codice4</formula>
    </cfRule>
    <cfRule type="expression" dxfId="168" priority="5" stopIfTrue="1">
      <formula>D7=Codice3</formula>
    </cfRule>
    <cfRule type="expression" dxfId="167" priority="6" stopIfTrue="1">
      <formula>D7=Codice1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2C67C28-76AD-46BA-A7A2-13A61F3247FE}">
            <x14:dataBar minLength="0" maxLength="100" border="1" negativeBarBorderColorSameAsPositive="0">
              <x14:cfvo type="autoMin"/>
              <x14:cfvo type="num">
                <xm:f>DATEDIF(DATE(AnnoCalendario,2,1),DATE(AnnoCalendario,3,1),"d")</xm:f>
              </x14:cfvo>
              <x14:borderColor theme="4"/>
              <x14:negativeFillColor rgb="FFFF0000"/>
              <x14:negativeBorderColor rgb="FFFF0000"/>
              <x14:axisColor rgb="FF000000"/>
            </x14:dataBar>
          </x14:cfRule>
          <xm:sqref>AM7:AM11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M263"/>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12" customWidth="1"/>
    <col min="2" max="2" width="12.42578125" style="12" bestFit="1" customWidth="1"/>
    <col min="3" max="3" width="28.85546875" style="13" customWidth="1"/>
    <col min="4"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39" s="1" customFormat="1" ht="42" customHeight="1">
      <c r="A1" s="35"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f>AnnoCalendario</f>
        <v>2012</v>
      </c>
    </row>
    <row r="2" spans="1:39" customFormat="1" ht="13.5"/>
    <row r="3" spans="1:39" s="30" customFormat="1" ht="12.75" customHeight="1">
      <c r="C3" s="42" t="str">
        <f>TestoLeggendaColori</f>
        <v xml:space="preserve">LEGGENDA COLORI </v>
      </c>
      <c r="D3" s="49" t="str">
        <f>Codice1</f>
        <v>I</v>
      </c>
      <c r="E3" s="65" t="str">
        <f>TestoCodice1</f>
        <v>In ritardo</v>
      </c>
      <c r="F3" s="57"/>
      <c r="H3" s="50" t="str">
        <f>Codice2</f>
        <v>G</v>
      </c>
      <c r="I3" s="54" t="str">
        <f>TestoCodice2</f>
        <v>Giustificato</v>
      </c>
      <c r="L3" s="51" t="str">
        <f>Codice3</f>
        <v>N</v>
      </c>
      <c r="M3" s="54" t="str">
        <f>TestoCodice3</f>
        <v>Non giustificato</v>
      </c>
      <c r="P3" s="52" t="str">
        <f>Codice4</f>
        <v>P</v>
      </c>
      <c r="Q3" s="54" t="str">
        <f>TestoCodice4</f>
        <v>Presente</v>
      </c>
      <c r="T3" s="53" t="str">
        <f>Codice5</f>
        <v>S</v>
      </c>
      <c r="U3" s="54" t="str">
        <f>TestoCodice5</f>
        <v>Scuola chiusa</v>
      </c>
      <c r="W3"/>
      <c r="X3"/>
      <c r="Y3"/>
      <c r="AD3" s="29"/>
      <c r="AE3" s="29"/>
      <c r="AH3" s="31"/>
      <c r="AI3" s="32"/>
      <c r="AK3" s="33"/>
    </row>
    <row r="4" spans="1:39" customFormat="1" ht="16.5" customHeight="1"/>
    <row r="5" spans="1:39" s="2" customFormat="1" ht="18" customHeight="1">
      <c r="B5" s="118">
        <f>DATE(AnnoCalendario+1,7,1)</f>
        <v>41456</v>
      </c>
      <c r="C5" s="58"/>
      <c r="D5" s="40" t="str">
        <f>TEXT(WEEKDAY(DATE(AnnoCalendario+1,7,1),1),"[$-410]aaa")</f>
        <v>1900</v>
      </c>
      <c r="E5" s="40" t="str">
        <f>TEXT(WEEKDAY(DATE(AnnoCalendario+1,7,2),1),"[$-410]aaa")</f>
        <v>1900</v>
      </c>
      <c r="F5" s="40" t="str">
        <f>TEXT(WEEKDAY(DATE(AnnoCalendario+1,7,3),1),"[$-410]aaa")</f>
        <v>1900</v>
      </c>
      <c r="G5" s="40" t="str">
        <f>TEXT(WEEKDAY(DATE(AnnoCalendario+1,7,4),1),"[$-410]aaa")</f>
        <v>1900</v>
      </c>
      <c r="H5" s="40" t="str">
        <f>TEXT(WEEKDAY(DATE(AnnoCalendario+1,7,5),1),"[$-410]aaa")</f>
        <v>1900</v>
      </c>
      <c r="I5" s="40" t="str">
        <f>TEXT(WEEKDAY(DATE(AnnoCalendario+1,7,6),1),"[$-410]aaa")</f>
        <v>1900</v>
      </c>
      <c r="J5" s="40" t="str">
        <f>TEXT(WEEKDAY(DATE(AnnoCalendario+1,7,7),1),"[$-410]aaa")</f>
        <v>1900</v>
      </c>
      <c r="K5" s="40" t="str">
        <f>TEXT(WEEKDAY(DATE(AnnoCalendario+1,7,8),1),"[$-410]aaa")</f>
        <v>1900</v>
      </c>
      <c r="L5" s="40" t="str">
        <f>TEXT(WEEKDAY(DATE(AnnoCalendario+1,7,9),1),"[$-410]aaa")</f>
        <v>1900</v>
      </c>
      <c r="M5" s="40" t="str">
        <f>TEXT(WEEKDAY(DATE(AnnoCalendario+1,7,10),1),"[$-410]aaa")</f>
        <v>1900</v>
      </c>
      <c r="N5" s="40" t="str">
        <f>TEXT(WEEKDAY(DATE(AnnoCalendario+1,7,11),1),"[$-410]aaa")</f>
        <v>1900</v>
      </c>
      <c r="O5" s="40" t="str">
        <f>TEXT(WEEKDAY(DATE(AnnoCalendario+1,7,12),1),"[$-410]aaa")</f>
        <v>1900</v>
      </c>
      <c r="P5" s="40" t="str">
        <f>TEXT(WEEKDAY(DATE(AnnoCalendario+1,7,13),1),"[$-410]aaa")</f>
        <v>1900</v>
      </c>
      <c r="Q5" s="40" t="str">
        <f>TEXT(WEEKDAY(DATE(AnnoCalendario+1,7,14),1),"[$-410]aaa")</f>
        <v>1900</v>
      </c>
      <c r="R5" s="40" t="str">
        <f>TEXT(WEEKDAY(DATE(AnnoCalendario+1,7,15),1),"[$-410]aaa")</f>
        <v>1900</v>
      </c>
      <c r="S5" s="40" t="str">
        <f>TEXT(WEEKDAY(DATE(AnnoCalendario+1,7,16),1),"[$-410]aaa")</f>
        <v>1900</v>
      </c>
      <c r="T5" s="40" t="str">
        <f>TEXT(WEEKDAY(DATE(AnnoCalendario+1,7,17),1),"[$-410]aaa")</f>
        <v>1900</v>
      </c>
      <c r="U5" s="40" t="str">
        <f>TEXT(WEEKDAY(DATE(AnnoCalendario+1,7,18),1),"[$-410]aaa")</f>
        <v>1900</v>
      </c>
      <c r="V5" s="40" t="str">
        <f>TEXT(WEEKDAY(DATE(AnnoCalendario+1,7,19),1),"[$-410]aaa")</f>
        <v>1900</v>
      </c>
      <c r="W5" s="40" t="str">
        <f>TEXT(WEEKDAY(DATE(AnnoCalendario+1,7,20),1),"[$-410]aaa")</f>
        <v>1900</v>
      </c>
      <c r="X5" s="40" t="str">
        <f>TEXT(WEEKDAY(DATE(AnnoCalendario+1,7,21),1),"[$-410]aaa")</f>
        <v>1900</v>
      </c>
      <c r="Y5" s="40" t="str">
        <f>TEXT(WEEKDAY(DATE(AnnoCalendario+1,7,22),1),"[$-410]aaa")</f>
        <v>1900</v>
      </c>
      <c r="Z5" s="40" t="str">
        <f>TEXT(WEEKDAY(DATE(AnnoCalendario+1,7,23),1),"[$-410]aaa")</f>
        <v>1900</v>
      </c>
      <c r="AA5" s="40" t="str">
        <f>TEXT(WEEKDAY(DATE(AnnoCalendario+1,7,24),1),"[$-410]aaa")</f>
        <v>1900</v>
      </c>
      <c r="AB5" s="40" t="str">
        <f>TEXT(WEEKDAY(DATE(AnnoCalendario+1,7,25),1),"[$-410]aaa")</f>
        <v>1900</v>
      </c>
      <c r="AC5" s="40" t="str">
        <f>TEXT(WEEKDAY(DATE(AnnoCalendario+1,7,26),1),"[$-410]aaa")</f>
        <v>1900</v>
      </c>
      <c r="AD5" s="40" t="str">
        <f>TEXT(WEEKDAY(DATE(AnnoCalendario+1,7,27),1),"[$-410]aaa")</f>
        <v>1900</v>
      </c>
      <c r="AE5" s="40" t="str">
        <f>TEXT(WEEKDAY(DATE(AnnoCalendario+1,7,28),1),"[$-410]aaa")</f>
        <v>1900</v>
      </c>
      <c r="AF5" s="40" t="str">
        <f>TEXT(WEEKDAY(DATE(AnnoCalendario+1,7,29),1),"[$-410]aaa")</f>
        <v>1900</v>
      </c>
      <c r="AG5" s="40" t="str">
        <f>TEXT(WEEKDAY(DATE(AnnoCalendario+1,7,30),1),"[$-410]aaa")</f>
        <v>1900</v>
      </c>
      <c r="AH5" s="40" t="str">
        <f>TEXT(WEEKDAY(DATE(AnnoCalendario+1,7,31),1),"[$-410]aaa")</f>
        <v>1900</v>
      </c>
      <c r="AI5" s="132" t="s">
        <v>38</v>
      </c>
      <c r="AJ5" s="132"/>
      <c r="AK5" s="132"/>
      <c r="AL5" s="132"/>
      <c r="AM5" s="132"/>
    </row>
    <row r="6" spans="1:39" ht="14.25" customHeight="1">
      <c r="B6" s="26" t="s">
        <v>34</v>
      </c>
      <c r="C6" s="27" t="s">
        <v>36</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30</v>
      </c>
      <c r="AI6" s="90" t="s">
        <v>132</v>
      </c>
      <c r="AJ6" s="66" t="s">
        <v>139</v>
      </c>
      <c r="AK6" s="67" t="s">
        <v>138</v>
      </c>
      <c r="AL6" s="68" t="s">
        <v>31</v>
      </c>
      <c r="AM6" t="s">
        <v>37</v>
      </c>
    </row>
    <row r="7" spans="1:39" ht="16.5" customHeight="1">
      <c r="B7" s="25"/>
      <c r="C7" s="21" t="str">
        <f>IFERROR(VLOOKUP(FrequenzaLuglio[[#This Row],[ID studente]],ElencoStudenti[],18,FALSE),"")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4">
        <f>COUNTIF(FrequenzaLuglio[[#This Row],[1]:[31]],Codice1)</f>
        <v>0</v>
      </c>
      <c r="AJ7" s="34">
        <f>COUNTIF(FrequenzaLuglio[[#This Row],[1]:[31]],Codice2)</f>
        <v>0</v>
      </c>
      <c r="AK7" s="34">
        <f>COUNTIF(FrequenzaLuglio[[#This Row],[1]:[31]],Codice3)</f>
        <v>0</v>
      </c>
      <c r="AL7" s="34">
        <f>COUNTIF(FrequenzaLuglio[[#This Row],[1]:[31]],Codice4)</f>
        <v>0</v>
      </c>
      <c r="AM7" s="7">
        <f>SUM(FrequenzaLuglio[[#This Row],[N]:[G]])</f>
        <v>0</v>
      </c>
    </row>
    <row r="8" spans="1:39" ht="16.5" customHeight="1">
      <c r="B8" s="25"/>
      <c r="C8" s="21" t="str">
        <f>IFERROR(VLOOKUP(FrequenzaLuglio[[#This Row],[ID studente]],ElencoStudenti[],18,FALSE),"")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4">
        <f>COUNTIF(FrequenzaLuglio[[#This Row],[1]:[31]],Codice1)</f>
        <v>0</v>
      </c>
      <c r="AJ8" s="34">
        <f>COUNTIF(FrequenzaLuglio[[#This Row],[1]:[31]],Codice2)</f>
        <v>0</v>
      </c>
      <c r="AK8" s="34">
        <f>COUNTIF(FrequenzaLuglio[[#This Row],[1]:[31]],Codice3)</f>
        <v>0</v>
      </c>
      <c r="AL8" s="34">
        <f>COUNTIF(FrequenzaLuglio[[#This Row],[1]:[31]],Codice4)</f>
        <v>0</v>
      </c>
      <c r="AM8" s="7">
        <f>SUM(FrequenzaLuglio[[#This Row],[N]:[G]])</f>
        <v>0</v>
      </c>
    </row>
    <row r="9" spans="1:39" ht="16.5" customHeight="1">
      <c r="B9" s="25"/>
      <c r="C9" s="21" t="str">
        <f>IFERROR(VLOOKUP(FrequenzaLuglio[[#This Row],[ID studente]],ElencoStudenti[],18,FALSE),"")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4">
        <f>COUNTIF(FrequenzaLuglio[[#This Row],[1]:[31]],Codice1)</f>
        <v>0</v>
      </c>
      <c r="AJ9" s="34">
        <f>COUNTIF(FrequenzaLuglio[[#This Row],[1]:[31]],Codice2)</f>
        <v>0</v>
      </c>
      <c r="AK9" s="34">
        <f>COUNTIF(FrequenzaLuglio[[#This Row],[1]:[31]],Codice3)</f>
        <v>0</v>
      </c>
      <c r="AL9" s="34">
        <f>COUNTIF(FrequenzaLuglio[[#This Row],[1]:[31]],Codice4)</f>
        <v>0</v>
      </c>
      <c r="AM9" s="7">
        <f>SUM(FrequenzaLuglio[[#This Row],[N]:[G]])</f>
        <v>0</v>
      </c>
    </row>
    <row r="10" spans="1:39" ht="16.5" customHeight="1">
      <c r="B10" s="25"/>
      <c r="C10" s="21" t="str">
        <f>IFERROR(VLOOKUP(FrequenzaLuglio[[#This Row],[ID studente]],ElencoStudenti[],18,FALSE),"")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4">
        <f>COUNTIF(FrequenzaLuglio[[#This Row],[1]:[31]],Codice1)</f>
        <v>0</v>
      </c>
      <c r="AJ10" s="34">
        <f>COUNTIF(FrequenzaLuglio[[#This Row],[1]:[31]],Codice2)</f>
        <v>0</v>
      </c>
      <c r="AK10" s="34">
        <f>COUNTIF(FrequenzaLuglio[[#This Row],[1]:[31]],Codice3)</f>
        <v>0</v>
      </c>
      <c r="AL10" s="34">
        <f>COUNTIF(FrequenzaLuglio[[#This Row],[1]:[31]],Codice4)</f>
        <v>0</v>
      </c>
      <c r="AM10" s="7">
        <f>SUM(FrequenzaLuglio[[#This Row],[N]:[G]])</f>
        <v>0</v>
      </c>
    </row>
    <row r="11" spans="1:39" ht="16.5" customHeight="1">
      <c r="B11" s="25"/>
      <c r="C11" s="21" t="str">
        <f>IFERROR(VLOOKUP(FrequenzaLuglio[[#This Row],[ID studente]],ElencoStudenti[],18,FALSE),"")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4">
        <f>COUNTIF(FrequenzaLuglio[[#This Row],[1]:[31]],Codice1)</f>
        <v>0</v>
      </c>
      <c r="AJ11" s="34">
        <f>COUNTIF(FrequenzaLuglio[[#This Row],[1]:[31]],Codice2)</f>
        <v>0</v>
      </c>
      <c r="AK11" s="34">
        <f>COUNTIF(FrequenzaLuglio[[#This Row],[1]:[31]],Codice3)</f>
        <v>0</v>
      </c>
      <c r="AL11" s="34">
        <f>COUNTIF(FrequenzaLuglio[[#This Row],[1]:[31]],Codice4)</f>
        <v>0</v>
      </c>
      <c r="AM11" s="7">
        <f>SUM(FrequenzaLuglio[[#This Row],[N]:[G]])</f>
        <v>0</v>
      </c>
    </row>
    <row r="12" spans="1:39" s="119" customFormat="1" ht="16.5" customHeight="1">
      <c r="B12" s="115"/>
      <c r="C12" s="120" t="s">
        <v>141</v>
      </c>
      <c r="D12" s="115">
        <f>COUNTIF(FrequenzaLuglio[1],"N")+COUNTIF(FrequenzaLuglio[1],"G")</f>
        <v>0</v>
      </c>
      <c r="E12" s="115">
        <f>COUNTIF(FrequenzaLuglio[2],"N")+COUNTIF(FrequenzaLuglio[2],"G")</f>
        <v>0</v>
      </c>
      <c r="F12" s="115">
        <f>COUNTIF(FrequenzaLuglio[3],"N")+COUNTIF(FrequenzaLuglio[3],"G")</f>
        <v>0</v>
      </c>
      <c r="G12" s="115">
        <f>COUNTIF(FrequenzaLuglio[4],"N")+COUNTIF(FrequenzaLuglio[4],"G")</f>
        <v>0</v>
      </c>
      <c r="H12" s="115">
        <f>COUNTIF(FrequenzaLuglio[5],"N")+COUNTIF(FrequenzaLuglio[5],"G")</f>
        <v>0</v>
      </c>
      <c r="I12" s="115">
        <f>COUNTIF(FrequenzaLuglio[6],"N")+COUNTIF(FrequenzaLuglio[6],"G")</f>
        <v>0</v>
      </c>
      <c r="J12" s="115">
        <f>COUNTIF(FrequenzaLuglio[7],"N")+COUNTIF(FrequenzaLuglio[7],"G")</f>
        <v>0</v>
      </c>
      <c r="K12" s="115">
        <f>COUNTIF(FrequenzaLuglio[8],"N")+COUNTIF(FrequenzaLuglio[8],"G")</f>
        <v>0</v>
      </c>
      <c r="L12" s="115">
        <f>COUNTIF(FrequenzaLuglio[9],"N")+COUNTIF(FrequenzaLuglio[9],"G")</f>
        <v>0</v>
      </c>
      <c r="M12" s="115">
        <f>COUNTIF(FrequenzaLuglio[10],"N")+COUNTIF(FrequenzaLuglio[10],"G")</f>
        <v>0</v>
      </c>
      <c r="N12" s="115">
        <f>COUNTIF(FrequenzaLuglio[11],"N")+COUNTIF(FrequenzaLuglio[11],"G")</f>
        <v>0</v>
      </c>
      <c r="O12" s="115">
        <f>COUNTIF(FrequenzaLuglio[12],"N")+COUNTIF(FrequenzaLuglio[12],"G")</f>
        <v>0</v>
      </c>
      <c r="P12" s="115">
        <f>COUNTIF(FrequenzaLuglio[13],"N")+COUNTIF(FrequenzaLuglio[13],"G")</f>
        <v>0</v>
      </c>
      <c r="Q12" s="115">
        <f>COUNTIF(FrequenzaLuglio[14],"N")+COUNTIF(FrequenzaLuglio[14],"G")</f>
        <v>0</v>
      </c>
      <c r="R12" s="115">
        <f>COUNTIF(FrequenzaLuglio[15],"N")+COUNTIF(FrequenzaLuglio[15],"G")</f>
        <v>0</v>
      </c>
      <c r="S12" s="115">
        <f>COUNTIF(FrequenzaLuglio[16],"N")+COUNTIF(FrequenzaLuglio[16],"G")</f>
        <v>0</v>
      </c>
      <c r="T12" s="115">
        <f>COUNTIF(FrequenzaLuglio[17],"N")+COUNTIF(FrequenzaLuglio[17],"G")</f>
        <v>0</v>
      </c>
      <c r="U12" s="115">
        <f>COUNTIF(FrequenzaLuglio[18],"N")+COUNTIF(FrequenzaLuglio[18],"G")</f>
        <v>0</v>
      </c>
      <c r="V12" s="115">
        <f>COUNTIF(FrequenzaLuglio[19],"N")+COUNTIF(FrequenzaLuglio[19],"G")</f>
        <v>0</v>
      </c>
      <c r="W12" s="115">
        <f>COUNTIF(FrequenzaLuglio[20],"N")+COUNTIF(FrequenzaLuglio[20],"G")</f>
        <v>0</v>
      </c>
      <c r="X12" s="115">
        <f>COUNTIF(FrequenzaLuglio[21],"N")+COUNTIF(FrequenzaLuglio[21],"G")</f>
        <v>0</v>
      </c>
      <c r="Y12" s="115">
        <f>COUNTIF(FrequenzaLuglio[22],"N")+COUNTIF(FrequenzaLuglio[22],"G")</f>
        <v>0</v>
      </c>
      <c r="Z12" s="115">
        <f>COUNTIF(FrequenzaLuglio[23],"N")+COUNTIF(FrequenzaLuglio[23],"G")</f>
        <v>0</v>
      </c>
      <c r="AA12" s="115">
        <f>COUNTIF(FrequenzaLuglio[24],"N")+COUNTIF(FrequenzaLuglio[24],"G")</f>
        <v>0</v>
      </c>
      <c r="AB12" s="115">
        <f>COUNTIF(FrequenzaLuglio[25],"N")+COUNTIF(FrequenzaLuglio[25],"G")</f>
        <v>0</v>
      </c>
      <c r="AC12" s="115">
        <f>COUNTIF(FrequenzaLuglio[26],"N")+COUNTIF(FrequenzaLuglio[26],"G")</f>
        <v>0</v>
      </c>
      <c r="AD12" s="115">
        <f>COUNTIF(FrequenzaLuglio[27],"N")+COUNTIF(FrequenzaLuglio[27],"G")</f>
        <v>0</v>
      </c>
      <c r="AE12" s="115">
        <f>COUNTIF(FrequenzaLuglio[28],"N")+COUNTIF(FrequenzaLuglio[28],"G")</f>
        <v>0</v>
      </c>
      <c r="AF12" s="115">
        <f>COUNTIF(FrequenzaLuglio[29],"N")+COUNTIF(FrequenzaLuglio[29],"G")</f>
        <v>0</v>
      </c>
      <c r="AG12" s="115">
        <f>COUNTIF(FrequenzaLuglio[30],"N")+COUNTIF(FrequenzaLuglio[30],"G")</f>
        <v>0</v>
      </c>
      <c r="AH12" s="115">
        <f>COUNTIF(FrequenzaLuglio[31],"N")+COUNTIF(FrequenzaLuglio[31],"G")</f>
        <v>0</v>
      </c>
      <c r="AI12" s="115">
        <f>SUBTOTAL(109,FrequenzaLuglio[I])</f>
        <v>0</v>
      </c>
      <c r="AJ12" s="115">
        <f>SUBTOTAL(109,FrequenzaLuglio[N])</f>
        <v>0</v>
      </c>
      <c r="AK12" s="115">
        <f>SUBTOTAL(109,FrequenzaLuglio[G])</f>
        <v>0</v>
      </c>
      <c r="AL12" s="115">
        <f>SUBTOTAL(109,FrequenzaLuglio[P])</f>
        <v>0</v>
      </c>
      <c r="AM12" s="115">
        <f>SUBTOTAL(109,FrequenzaLuglio[Giorni di assenza])</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AM7:AM11">
    <cfRule type="dataBar" priority="1">
      <dataBar>
        <cfvo type="min"/>
        <cfvo type="num" val="DATEDIF(DATE(AnnoCalendario,2,1),DATE(AnnoCalendario,3,1),&quot;d&quot;)"/>
        <color theme="4"/>
      </dataBar>
      <extLst>
        <ext xmlns:x14="http://schemas.microsoft.com/office/spreadsheetml/2009/9/main" uri="{B025F937-C7B1-47D3-B67F-A62EFF666E3E}">
          <x14:id>{9F36FAEC-C62D-409B-BB81-2770CD5BFB3E}</x14:id>
        </ext>
      </extLst>
    </cfRule>
  </conditionalFormatting>
  <conditionalFormatting sqref="D7:AF11">
    <cfRule type="expression" dxfId="88" priority="2" stopIfTrue="1">
      <formula>D7=Codice2</formula>
    </cfRule>
  </conditionalFormatting>
  <conditionalFormatting sqref="D7:AF11">
    <cfRule type="expression" dxfId="87" priority="3" stopIfTrue="1">
      <formula>D7=Codice5</formula>
    </cfRule>
    <cfRule type="expression" dxfId="86" priority="4" stopIfTrue="1">
      <formula>D7=Codice4</formula>
    </cfRule>
    <cfRule type="expression" dxfId="85" priority="5" stopIfTrue="1">
      <formula>D7=Codice3</formula>
    </cfRule>
    <cfRule type="expression" dxfId="84" priority="6" stopIfTrue="1">
      <formula>D7=Codice1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36FAEC-C62D-409B-BB81-2770CD5BFB3E}">
            <x14:dataBar minLength="0" maxLength="100" border="1" negativeBarBorderColorSameAsPositive="0">
              <x14:cfvo type="autoMin"/>
              <x14:cfvo type="num">
                <xm:f>DATEDIF(DATE(AnnoCalendario,2,1),DATE(AnnoCalendario,3,1),"d")</xm:f>
              </x14:cfvo>
              <x14:borderColor theme="4"/>
              <x14:negativeFillColor rgb="FFFF0000"/>
              <x14:negativeBorderColor rgb="FFFF0000"/>
              <x14:axisColor rgb="FF000000"/>
            </x14:dataBar>
          </x14:cfRule>
          <xm:sqref>AM7:AM11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AK40"/>
  <sheetViews>
    <sheetView showGridLines="0" zoomScaleNormal="100" workbookViewId="0"/>
  </sheetViews>
  <sheetFormatPr defaultRowHeight="13.5"/>
  <cols>
    <col min="1" max="1" width="3.42578125" style="19" customWidth="1"/>
    <col min="2" max="2" width="18.28515625" style="19" bestFit="1" customWidth="1"/>
    <col min="3" max="21" width="3.28515625" style="19" customWidth="1"/>
    <col min="22" max="22" width="3.7109375" style="19" bestFit="1" customWidth="1"/>
    <col min="23" max="33" width="3.28515625" style="19" customWidth="1"/>
    <col min="34" max="36" width="6.140625" style="19" customWidth="1"/>
    <col min="37" max="37" width="7.140625" style="19" bestFit="1" customWidth="1"/>
    <col min="38" max="16384" width="9.140625" style="19"/>
  </cols>
  <sheetData>
    <row r="1" spans="1:37" ht="33" customHeight="1">
      <c r="A1" s="80" t="str">
        <f>"Registro presenze per "</f>
        <v xml:space="preserve">Registro presenze per </v>
      </c>
      <c r="B1" s="61"/>
      <c r="C1" s="62"/>
      <c r="D1" s="62"/>
      <c r="E1" s="62"/>
      <c r="F1" s="62"/>
      <c r="G1" s="62"/>
      <c r="H1" s="62"/>
      <c r="I1" s="79" t="str">
        <f>D4</f>
        <v>Davide Alessandri</v>
      </c>
      <c r="J1" s="61"/>
      <c r="K1" s="61"/>
      <c r="L1" s="61"/>
      <c r="M1" s="62"/>
      <c r="N1" s="59"/>
      <c r="O1" s="59"/>
      <c r="P1" s="59"/>
      <c r="Q1" s="59"/>
      <c r="R1" s="59"/>
      <c r="S1" s="59"/>
      <c r="T1" s="59"/>
      <c r="U1" s="59"/>
      <c r="V1" s="59"/>
      <c r="W1" s="59"/>
      <c r="X1" s="59"/>
      <c r="Y1" s="59"/>
      <c r="Z1" s="59"/>
      <c r="AA1" s="59"/>
      <c r="AB1" s="59"/>
      <c r="AC1" s="59"/>
      <c r="AD1" s="59"/>
      <c r="AE1" s="59"/>
      <c r="AF1" s="59"/>
      <c r="AG1" s="59"/>
      <c r="AH1" s="59"/>
      <c r="AI1" s="59"/>
      <c r="AJ1" s="59"/>
      <c r="AK1" s="60"/>
    </row>
    <row r="2" spans="1:37" customFormat="1" ht="15" customHeight="1"/>
    <row r="3" spans="1:37" ht="17.25" customHeight="1">
      <c r="B3" s="97" t="s">
        <v>34</v>
      </c>
      <c r="C3" s="98"/>
      <c r="D3" s="143" t="s">
        <v>36</v>
      </c>
      <c r="E3" s="143"/>
      <c r="F3" s="143"/>
      <c r="G3" s="143"/>
      <c r="H3" s="143"/>
      <c r="I3" s="143"/>
      <c r="J3" s="143"/>
      <c r="K3" s="143"/>
      <c r="L3" s="143"/>
      <c r="M3" s="143"/>
      <c r="N3" s="143"/>
      <c r="O3" s="143"/>
      <c r="P3" s="148" t="s">
        <v>39</v>
      </c>
      <c r="Q3" s="148"/>
      <c r="R3" s="148"/>
      <c r="S3" s="148" t="s">
        <v>40</v>
      </c>
      <c r="T3" s="148"/>
      <c r="U3" s="148"/>
      <c r="V3" s="148"/>
      <c r="W3" s="148" t="s">
        <v>41</v>
      </c>
      <c r="X3" s="148"/>
      <c r="Y3" s="148"/>
      <c r="Z3" s="148"/>
      <c r="AA3" s="148"/>
      <c r="AB3" s="148"/>
      <c r="AC3" s="148"/>
      <c r="AD3" s="148"/>
      <c r="AE3" s="146" t="s">
        <v>42</v>
      </c>
      <c r="AF3" s="146"/>
      <c r="AG3" s="148" t="s">
        <v>43</v>
      </c>
      <c r="AH3" s="148"/>
      <c r="AI3" s="148"/>
      <c r="AJ3" s="148"/>
      <c r="AK3" s="106" t="s">
        <v>44</v>
      </c>
    </row>
    <row r="4" spans="1:37" ht="17.25" customHeight="1">
      <c r="B4" s="141" t="s">
        <v>88</v>
      </c>
      <c r="C4" s="141"/>
      <c r="D4" s="142" t="str">
        <f>IFERROR(VLOOKUP(RicercaStudente,ElencoStudenti[],18,FALSE),"")</f>
        <v>Davide Alessandri</v>
      </c>
      <c r="E4" s="142"/>
      <c r="F4" s="142"/>
      <c r="G4" s="142"/>
      <c r="H4" s="142"/>
      <c r="I4" s="142"/>
      <c r="J4" s="142"/>
      <c r="K4" s="142"/>
      <c r="L4" s="142"/>
      <c r="M4" s="142"/>
      <c r="N4" s="142"/>
      <c r="O4" s="142"/>
      <c r="P4" s="150" t="str">
        <f>IFERROR(VLOOKUP(RicercaStudente,ElencoStudenti[],4,FALSE),"")</f>
        <v>M</v>
      </c>
      <c r="Q4" s="150"/>
      <c r="R4" s="150"/>
      <c r="S4" s="151">
        <f>IFERROR(VLOOKUP(RicercaStudente,ElencoStudenti[],5,FALSE),"")</f>
        <v>35517</v>
      </c>
      <c r="T4" s="151"/>
      <c r="U4" s="151"/>
      <c r="V4" s="151"/>
      <c r="W4" s="141" t="s">
        <v>95</v>
      </c>
      <c r="X4" s="141"/>
      <c r="Y4" s="141"/>
      <c r="Z4" s="141"/>
      <c r="AA4" s="141"/>
      <c r="AB4" s="141"/>
      <c r="AC4" s="141"/>
      <c r="AD4" s="141"/>
      <c r="AE4" s="147">
        <v>7</v>
      </c>
      <c r="AF4" s="147"/>
      <c r="AG4" s="141" t="s">
        <v>96</v>
      </c>
      <c r="AH4" s="141"/>
      <c r="AI4" s="141"/>
      <c r="AJ4" s="141"/>
      <c r="AK4" s="99">
        <v>123</v>
      </c>
    </row>
    <row r="5" spans="1:37" ht="17.25" customHeight="1">
      <c r="B5" s="148" t="s">
        <v>77</v>
      </c>
      <c r="C5" s="148"/>
      <c r="D5" s="148"/>
      <c r="E5" s="148"/>
      <c r="F5" s="148"/>
      <c r="G5" s="148"/>
      <c r="H5" s="148"/>
      <c r="I5" s="148"/>
      <c r="J5" s="148"/>
      <c r="K5" s="148" t="s">
        <v>45</v>
      </c>
      <c r="L5" s="148"/>
      <c r="M5" s="148"/>
      <c r="N5" s="148"/>
      <c r="O5" s="148"/>
      <c r="P5" s="148"/>
      <c r="Q5" s="148"/>
      <c r="R5" s="148"/>
      <c r="S5" s="148"/>
      <c r="T5" s="148"/>
      <c r="U5" s="148"/>
      <c r="V5" s="148"/>
      <c r="W5" s="148" t="s">
        <v>46</v>
      </c>
      <c r="X5" s="148"/>
      <c r="Y5" s="148"/>
      <c r="Z5" s="148"/>
      <c r="AA5" s="148"/>
      <c r="AB5" s="148"/>
      <c r="AC5" s="148"/>
      <c r="AD5" s="148"/>
      <c r="AE5" s="148" t="s">
        <v>47</v>
      </c>
      <c r="AF5" s="148"/>
      <c r="AG5" s="148"/>
      <c r="AH5" s="148"/>
      <c r="AI5" s="148"/>
      <c r="AJ5" s="148"/>
      <c r="AK5" s="148"/>
    </row>
    <row r="6" spans="1:37" ht="17.25" customHeight="1">
      <c r="B6" s="142" t="str">
        <f>IFERROR(VLOOKUP(RicercaStudente,ElencoStudenti[],6,FALSE),"")</f>
        <v>Daniela</v>
      </c>
      <c r="C6" s="142"/>
      <c r="D6" s="142"/>
      <c r="E6" s="142"/>
      <c r="F6" s="142"/>
      <c r="G6" s="142"/>
      <c r="H6" s="142"/>
      <c r="I6" s="142"/>
      <c r="J6" s="142"/>
      <c r="K6" s="142" t="str">
        <f>IFERROR(VLOOKUP(RicercaStudente,ElencoStudenti[],7,FALSE),"")</f>
        <v>Alessandri</v>
      </c>
      <c r="L6" s="142"/>
      <c r="M6" s="142"/>
      <c r="N6" s="142"/>
      <c r="O6" s="142"/>
      <c r="P6" s="142"/>
      <c r="Q6" s="142"/>
      <c r="R6" s="142"/>
      <c r="S6" s="142"/>
      <c r="T6" s="142"/>
      <c r="U6" s="142"/>
      <c r="V6" s="142"/>
      <c r="W6" s="149">
        <f>IFERROR(VLOOKUP(RicercaStudente,ElencoStudenti[],8,FALSE),"")</f>
        <v>1235550134</v>
      </c>
      <c r="X6" s="149"/>
      <c r="Y6" s="149"/>
      <c r="Z6" s="149"/>
      <c r="AA6" s="149"/>
      <c r="AB6" s="149"/>
      <c r="AC6" s="149"/>
      <c r="AD6" s="149"/>
      <c r="AE6" s="149">
        <f>IFERROR(VLOOKUP(RicercaStudente,ElencoStudenti[],9,FALSE),"")</f>
        <v>2345550134</v>
      </c>
      <c r="AF6" s="149"/>
      <c r="AG6" s="149"/>
      <c r="AH6" s="149"/>
      <c r="AI6" s="149"/>
      <c r="AJ6" s="149"/>
      <c r="AK6" s="149"/>
    </row>
    <row r="7" spans="1:37" ht="17.25" customHeight="1">
      <c r="B7" s="148" t="s">
        <v>78</v>
      </c>
      <c r="C7" s="148"/>
      <c r="D7" s="148"/>
      <c r="E7" s="148"/>
      <c r="F7" s="148"/>
      <c r="G7" s="148"/>
      <c r="H7" s="148"/>
      <c r="I7" s="148"/>
      <c r="J7" s="148"/>
      <c r="K7" s="148" t="s">
        <v>45</v>
      </c>
      <c r="L7" s="148"/>
      <c r="M7" s="148"/>
      <c r="N7" s="148"/>
      <c r="O7" s="148"/>
      <c r="P7" s="148"/>
      <c r="Q7" s="148"/>
      <c r="R7" s="148"/>
      <c r="S7" s="148"/>
      <c r="T7" s="148"/>
      <c r="U7" s="148"/>
      <c r="V7" s="148"/>
      <c r="W7" s="148" t="s">
        <v>46</v>
      </c>
      <c r="X7" s="148"/>
      <c r="Y7" s="148"/>
      <c r="Z7" s="148"/>
      <c r="AA7" s="148"/>
      <c r="AB7" s="148"/>
      <c r="AC7" s="148"/>
      <c r="AD7" s="148"/>
      <c r="AE7" s="148" t="s">
        <v>47</v>
      </c>
      <c r="AF7" s="148"/>
      <c r="AG7" s="148"/>
      <c r="AH7" s="148"/>
      <c r="AI7" s="148"/>
      <c r="AJ7" s="148"/>
      <c r="AK7" s="148"/>
    </row>
    <row r="8" spans="1:37" ht="17.25" customHeight="1">
      <c r="B8" s="142" t="str">
        <f>IFERROR(VLOOKUP(RicercaStudente,ElencoStudenti[],10,FALSE),"")</f>
        <v>Michele Alessandri</v>
      </c>
      <c r="C8" s="142"/>
      <c r="D8" s="142"/>
      <c r="E8" s="142"/>
      <c r="F8" s="142"/>
      <c r="G8" s="142"/>
      <c r="H8" s="142"/>
      <c r="I8" s="142"/>
      <c r="J8" s="142"/>
      <c r="K8" s="142" t="str">
        <f>IFERROR(VLOOKUP(RicercaStudente,ElencoStudenti[],11,FALSE),"")</f>
        <v>Padre</v>
      </c>
      <c r="L8" s="142"/>
      <c r="M8" s="142"/>
      <c r="N8" s="142"/>
      <c r="O8" s="142"/>
      <c r="P8" s="142"/>
      <c r="Q8" s="142"/>
      <c r="R8" s="142"/>
      <c r="S8" s="142"/>
      <c r="T8" s="142"/>
      <c r="U8" s="142"/>
      <c r="V8" s="142"/>
      <c r="W8" s="149">
        <f>IFERROR(VLOOKUP(RicercaStudente,ElencoStudenti[],12,FALSE),"")</f>
        <v>1235550134</v>
      </c>
      <c r="X8" s="149"/>
      <c r="Y8" s="149"/>
      <c r="Z8" s="149"/>
      <c r="AA8" s="149"/>
      <c r="AB8" s="149"/>
      <c r="AC8" s="149"/>
      <c r="AD8" s="149"/>
      <c r="AE8" s="149">
        <f>IFERROR(VLOOKUP(RicercaStudente,ElencoStudenti[],13,FALSE),"")</f>
        <v>2345550134</v>
      </c>
      <c r="AF8" s="149"/>
      <c r="AG8" s="149"/>
      <c r="AH8" s="149"/>
      <c r="AI8" s="149"/>
      <c r="AJ8" s="149"/>
      <c r="AK8" s="149"/>
    </row>
    <row r="9" spans="1:37" ht="17.25" customHeight="1">
      <c r="B9" s="148" t="s">
        <v>48</v>
      </c>
      <c r="C9" s="148"/>
      <c r="D9" s="148"/>
      <c r="E9" s="148"/>
      <c r="F9" s="148"/>
      <c r="G9" s="148"/>
      <c r="H9" s="148"/>
      <c r="I9" s="148"/>
      <c r="J9" s="148"/>
      <c r="K9" s="148" t="s">
        <v>45</v>
      </c>
      <c r="L9" s="148"/>
      <c r="M9" s="148"/>
      <c r="N9" s="148"/>
      <c r="O9" s="148"/>
      <c r="P9" s="148"/>
      <c r="Q9" s="148"/>
      <c r="R9" s="148"/>
      <c r="S9" s="148"/>
      <c r="T9" s="148"/>
      <c r="U9" s="148"/>
      <c r="V9" s="148"/>
      <c r="W9" s="148" t="s">
        <v>46</v>
      </c>
      <c r="X9" s="148"/>
      <c r="Y9" s="148"/>
      <c r="Z9" s="148"/>
      <c r="AA9" s="148"/>
      <c r="AB9" s="148"/>
      <c r="AC9" s="148"/>
      <c r="AD9" s="148"/>
      <c r="AE9" s="148" t="s">
        <v>47</v>
      </c>
      <c r="AF9" s="148"/>
      <c r="AG9" s="148"/>
      <c r="AH9" s="148"/>
      <c r="AI9" s="148"/>
      <c r="AJ9" s="148"/>
      <c r="AK9" s="148"/>
    </row>
    <row r="10" spans="1:37" ht="17.25" customHeight="1">
      <c r="B10" s="142" t="str">
        <f>IFERROR(VLOOKUP(RicercaStudente,ElencoStudenti[],14,FALSE),"")</f>
        <v>Davide Ruspini</v>
      </c>
      <c r="C10" s="142"/>
      <c r="D10" s="142"/>
      <c r="E10" s="142"/>
      <c r="F10" s="142"/>
      <c r="G10" s="142"/>
      <c r="H10" s="142"/>
      <c r="I10" s="142"/>
      <c r="J10" s="142"/>
      <c r="K10" s="142" t="str">
        <f>IFERROR(VLOOKUP(RicercaStudente,ElencoStudenti[],15,FALSE),"")</f>
        <v>Nonno</v>
      </c>
      <c r="L10" s="142"/>
      <c r="M10" s="142"/>
      <c r="N10" s="142"/>
      <c r="O10" s="142"/>
      <c r="P10" s="142"/>
      <c r="Q10" s="142"/>
      <c r="R10" s="142"/>
      <c r="S10" s="142"/>
      <c r="T10" s="142"/>
      <c r="U10" s="142"/>
      <c r="V10" s="142"/>
      <c r="W10" s="149">
        <f>IFERROR(VLOOKUP(RicercaStudente,ElencoStudenti[],16,FALSE),"")</f>
        <v>7895550189</v>
      </c>
      <c r="X10" s="149"/>
      <c r="Y10" s="149"/>
      <c r="Z10" s="149"/>
      <c r="AA10" s="149"/>
      <c r="AB10" s="149"/>
      <c r="AC10" s="149"/>
      <c r="AD10" s="149"/>
      <c r="AE10" s="149">
        <f>IFERROR(VLOOKUP(RicercaStudente,ElencoStudenti[],17,FALSE),"")</f>
        <v>7895550134</v>
      </c>
      <c r="AF10" s="149"/>
      <c r="AG10" s="149"/>
      <c r="AH10" s="149"/>
      <c r="AI10" s="149"/>
      <c r="AJ10" s="149"/>
      <c r="AK10" s="149"/>
    </row>
    <row r="11" spans="1:37" ht="10.5" customHeight="1">
      <c r="B11" s="63"/>
      <c r="C11" s="63"/>
      <c r="D11" s="63"/>
      <c r="E11" s="63"/>
      <c r="F11" s="63"/>
      <c r="G11" s="63"/>
      <c r="H11" s="63"/>
      <c r="I11" s="63"/>
      <c r="J11" s="63"/>
      <c r="K11" s="63"/>
      <c r="L11" s="63"/>
      <c r="M11" s="63"/>
      <c r="N11" s="63"/>
      <c r="O11" s="63"/>
      <c r="P11" s="63"/>
      <c r="Q11" s="63"/>
      <c r="R11" s="63"/>
      <c r="S11" s="63"/>
      <c r="T11" s="63"/>
      <c r="U11" s="63"/>
      <c r="V11" s="63"/>
      <c r="W11" s="64"/>
      <c r="X11" s="64"/>
      <c r="Y11" s="64"/>
      <c r="Z11" s="64"/>
      <c r="AA11" s="64"/>
      <c r="AB11" s="64"/>
      <c r="AC11" s="64"/>
      <c r="AD11" s="64"/>
      <c r="AE11" s="64"/>
      <c r="AF11" s="64"/>
      <c r="AG11" s="64"/>
      <c r="AH11" s="64"/>
      <c r="AI11" s="64"/>
      <c r="AJ11" s="64"/>
      <c r="AK11" s="64"/>
    </row>
    <row r="12" spans="1:37" ht="15.75" customHeight="1">
      <c r="B12" s="69" t="str">
        <f>Agosto!C3</f>
        <v xml:space="preserve">LEGGENDA COLORI </v>
      </c>
      <c r="C12" s="70" t="str">
        <f>Agosto!D3</f>
        <v>I</v>
      </c>
      <c r="D12" s="69" t="str">
        <f>Agosto!E3</f>
        <v>In ritardo</v>
      </c>
      <c r="E12" s="69"/>
      <c r="F12" s="69"/>
      <c r="G12" s="71" t="str">
        <f>Agosto!H3</f>
        <v>G</v>
      </c>
      <c r="H12" s="69" t="str">
        <f>Agosto!I3</f>
        <v>Giustificato</v>
      </c>
      <c r="I12" s="69"/>
      <c r="J12" s="69"/>
      <c r="K12" s="72" t="str">
        <f>Agosto!L3</f>
        <v>N</v>
      </c>
      <c r="L12" s="69" t="str">
        <f>Agosto!M3</f>
        <v>Non giustificato</v>
      </c>
      <c r="M12" s="69"/>
      <c r="N12" s="69"/>
      <c r="O12" s="73"/>
      <c r="P12" s="74" t="str">
        <f>Agosto!P3</f>
        <v>P</v>
      </c>
      <c r="Q12" s="69" t="str">
        <f>Agosto!Q3</f>
        <v>Presente</v>
      </c>
      <c r="R12" s="69"/>
      <c r="S12" s="69"/>
      <c r="T12" s="75" t="str">
        <f>Agosto!T3</f>
        <v>S</v>
      </c>
      <c r="U12" s="76" t="str">
        <f>Agosto!U3</f>
        <v>Scuola chiusa</v>
      </c>
      <c r="V12" s="77"/>
      <c r="W12" s="78"/>
      <c r="X12" s="64"/>
      <c r="Y12" s="64"/>
      <c r="Z12" s="64"/>
      <c r="AA12" s="64"/>
      <c r="AB12" s="64"/>
      <c r="AC12" s="64"/>
      <c r="AD12" s="64"/>
      <c r="AE12" s="64"/>
      <c r="AF12" s="64"/>
      <c r="AG12" s="64"/>
      <c r="AH12" s="64"/>
      <c r="AI12" s="64"/>
      <c r="AJ12" s="64"/>
      <c r="AK12" s="64"/>
    </row>
    <row r="13" spans="1:37" ht="6" customHeight="1"/>
    <row r="14" spans="1:37" ht="16.5" customHeight="1">
      <c r="B14" s="144" t="s">
        <v>84</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0" t="s">
        <v>55</v>
      </c>
      <c r="AI14" s="140"/>
      <c r="AJ14" s="140"/>
      <c r="AK14" s="140"/>
    </row>
    <row r="15" spans="1:37" ht="14.25" thickBot="1">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07" t="s">
        <v>132</v>
      </c>
      <c r="AI15" s="108" t="s">
        <v>138</v>
      </c>
      <c r="AJ15" s="109" t="s">
        <v>139</v>
      </c>
      <c r="AK15" s="110" t="s">
        <v>31</v>
      </c>
    </row>
    <row r="16" spans="1:37" ht="14.25">
      <c r="B16" s="139" t="s">
        <v>56</v>
      </c>
      <c r="C16" s="100">
        <v>1</v>
      </c>
      <c r="D16" s="100">
        <v>2</v>
      </c>
      <c r="E16" s="100">
        <v>3</v>
      </c>
      <c r="F16" s="100">
        <v>4</v>
      </c>
      <c r="G16" s="100">
        <v>5</v>
      </c>
      <c r="H16" s="100">
        <v>6</v>
      </c>
      <c r="I16" s="100">
        <v>7</v>
      </c>
      <c r="J16" s="100">
        <v>8</v>
      </c>
      <c r="K16" s="100">
        <v>9</v>
      </c>
      <c r="L16" s="100">
        <v>10</v>
      </c>
      <c r="M16" s="100">
        <v>11</v>
      </c>
      <c r="N16" s="100">
        <v>12</v>
      </c>
      <c r="O16" s="100">
        <v>13</v>
      </c>
      <c r="P16" s="100">
        <v>14</v>
      </c>
      <c r="Q16" s="100">
        <v>15</v>
      </c>
      <c r="R16" s="100">
        <v>16</v>
      </c>
      <c r="S16" s="100">
        <v>17</v>
      </c>
      <c r="T16" s="100">
        <v>18</v>
      </c>
      <c r="U16" s="100">
        <v>19</v>
      </c>
      <c r="V16" s="100">
        <v>20</v>
      </c>
      <c r="W16" s="100">
        <v>21</v>
      </c>
      <c r="X16" s="100">
        <v>22</v>
      </c>
      <c r="Y16" s="100">
        <v>23</v>
      </c>
      <c r="Z16" s="100">
        <v>24</v>
      </c>
      <c r="AA16" s="100">
        <v>25</v>
      </c>
      <c r="AB16" s="100">
        <v>26</v>
      </c>
      <c r="AC16" s="100">
        <v>27</v>
      </c>
      <c r="AD16" s="100">
        <v>28</v>
      </c>
      <c r="AE16" s="100">
        <v>29</v>
      </c>
      <c r="AF16" s="100">
        <v>30</v>
      </c>
      <c r="AG16" s="100">
        <v>31</v>
      </c>
      <c r="AH16" s="134">
        <f>COUNTIF($D17:$AH17,Codice1)</f>
        <v>2</v>
      </c>
      <c r="AI16" s="134">
        <f>COUNTIF($D17:$AH17,Codice2)</f>
        <v>1</v>
      </c>
      <c r="AJ16" s="134">
        <f>COUNTIF($D17:$AH17,Codice3)</f>
        <v>0</v>
      </c>
      <c r="AK16" s="134">
        <f>COUNTIF($D17:$AH17,Codice4)</f>
        <v>19</v>
      </c>
    </row>
    <row r="17" spans="2:37" ht="14.25">
      <c r="B17" s="136"/>
      <c r="C17" s="101" t="str">
        <f>IFERROR(VLOOKUP(RicercaStudente,FrequenzaAgosto[],3,FALSE),"")</f>
        <v>P</v>
      </c>
      <c r="D17" s="101" t="str">
        <f>IFERROR(VLOOKUP(RicercaStudente,FrequenzaAgosto[],4,FALSE),"")</f>
        <v>P</v>
      </c>
      <c r="E17" s="101" t="str">
        <f>IFERROR(VLOOKUP(RicercaStudente,FrequenzaAgosto[],5,FALSE),"")</f>
        <v>I</v>
      </c>
      <c r="F17" s="101" t="str">
        <f>IFERROR(VLOOKUP(RicercaStudente,FrequenzaAgosto[],6,FALSE),"")</f>
        <v>I</v>
      </c>
      <c r="G17" s="101" t="str">
        <f>IFERROR(VLOOKUP(RicercaStudente,FrequenzaAgosto[],7,FALSE),"")</f>
        <v>P</v>
      </c>
      <c r="H17" s="101" t="str">
        <f>IFERROR(VLOOKUP(RicercaStudente,FrequenzaAgosto[],8,FALSE),"")</f>
        <v>S</v>
      </c>
      <c r="I17" s="101" t="str">
        <f>IFERROR(VLOOKUP(RicercaStudente,FrequenzaAgosto[],9,FALSE),"")</f>
        <v>S</v>
      </c>
      <c r="J17" s="101" t="str">
        <f>IFERROR(VLOOKUP(RicercaStudente,FrequenzaAgosto[],10,FALSE),"")</f>
        <v>P</v>
      </c>
      <c r="K17" s="101" t="str">
        <f>IFERROR(VLOOKUP(RicercaStudente,FrequenzaAgosto[],11,FALSE),"")</f>
        <v>P</v>
      </c>
      <c r="L17" s="101" t="str">
        <f>IFERROR(VLOOKUP(RicercaStudente,FrequenzaAgosto[],12,FALSE),"")</f>
        <v>G</v>
      </c>
      <c r="M17" s="101" t="str">
        <f>IFERROR(VLOOKUP(RicercaStudente,FrequenzaAgosto[],13,FALSE),"")</f>
        <v>P</v>
      </c>
      <c r="N17" s="101" t="str">
        <f>IFERROR(VLOOKUP(RicercaStudente,FrequenzaAgosto[],14,FALSE),"")</f>
        <v>P</v>
      </c>
      <c r="O17" s="101" t="str">
        <f>IFERROR(VLOOKUP(RicercaStudente,FrequenzaAgosto[],15,FALSE),"")</f>
        <v>S</v>
      </c>
      <c r="P17" s="101" t="str">
        <f>IFERROR(VLOOKUP(RicercaStudente,FrequenzaAgosto[],16,FALSE),"")</f>
        <v>S</v>
      </c>
      <c r="Q17" s="101" t="str">
        <f>IFERROR(VLOOKUP(RicercaStudente,FrequenzaAgosto[],17,FALSE),"")</f>
        <v>P</v>
      </c>
      <c r="R17" s="101" t="str">
        <f>IFERROR(VLOOKUP(RicercaStudente,FrequenzaAgosto[],18,FALSE),"")</f>
        <v>P</v>
      </c>
      <c r="S17" s="101" t="str">
        <f>IFERROR(VLOOKUP(RicercaStudente,FrequenzaAgosto[],19,FALSE),"")</f>
        <v>P</v>
      </c>
      <c r="T17" s="101" t="str">
        <f>IFERROR(VLOOKUP(RicercaStudente,FrequenzaAgosto[],20,FALSE),"")</f>
        <v>P</v>
      </c>
      <c r="U17" s="101" t="str">
        <f>IFERROR(VLOOKUP(RicercaStudente,FrequenzaAgosto[],21,FALSE),"")</f>
        <v>P</v>
      </c>
      <c r="V17" s="101" t="str">
        <f>IFERROR(VLOOKUP(RicercaStudente,FrequenzaAgosto[],22,FALSE),"")</f>
        <v>S</v>
      </c>
      <c r="W17" s="101" t="str">
        <f>IFERROR(VLOOKUP(RicercaStudente,FrequenzaAgosto[],23,FALSE),"")</f>
        <v>S</v>
      </c>
      <c r="X17" s="101" t="str">
        <f>IFERROR(VLOOKUP(RicercaStudente,FrequenzaAgosto[],24,FALSE),"")</f>
        <v>P</v>
      </c>
      <c r="Y17" s="101" t="str">
        <f>IFERROR(VLOOKUP(RicercaStudente,FrequenzaAgosto[],25,FALSE),"")</f>
        <v>P</v>
      </c>
      <c r="Z17" s="101" t="str">
        <f>IFERROR(VLOOKUP(RicercaStudente,FrequenzaAgosto[],26,FALSE),"")</f>
        <v>P</v>
      </c>
      <c r="AA17" s="101" t="str">
        <f>IFERROR(VLOOKUP(RicercaStudente,FrequenzaAgosto[],27,FALSE),"")</f>
        <v>P</v>
      </c>
      <c r="AB17" s="101" t="str">
        <f>IFERROR(VLOOKUP(RicercaStudente,FrequenzaAgosto[],28,FALSE),"")</f>
        <v>P</v>
      </c>
      <c r="AC17" s="101" t="str">
        <f>IFERROR(VLOOKUP(RicercaStudente,FrequenzaAgosto[],29,FALSE),"")</f>
        <v>S</v>
      </c>
      <c r="AD17" s="101" t="str">
        <f>IFERROR(VLOOKUP(RicercaStudente,FrequenzaAgosto[],30,FALSE),"")</f>
        <v>S</v>
      </c>
      <c r="AE17" s="101" t="str">
        <f>IFERROR(VLOOKUP(RicercaStudente,FrequenzaAgosto[],31,FALSE),"")</f>
        <v>P</v>
      </c>
      <c r="AF17" s="101" t="str">
        <f>IFERROR(VLOOKUP(RicercaStudente,FrequenzaAgosto[],32,FALSE),"")</f>
        <v>P</v>
      </c>
      <c r="AG17" s="101" t="str">
        <f>IFERROR(VLOOKUP(RicercaStudente,FrequenzaAgosto[],33,FALSE),"")</f>
        <v>P</v>
      </c>
      <c r="AH17" s="137"/>
      <c r="AI17" s="137"/>
      <c r="AJ17" s="137"/>
      <c r="AK17" s="137"/>
    </row>
    <row r="18" spans="2:37" ht="14.25">
      <c r="B18" s="136" t="s">
        <v>57</v>
      </c>
      <c r="C18" s="102">
        <v>1</v>
      </c>
      <c r="D18" s="102">
        <v>2</v>
      </c>
      <c r="E18" s="102">
        <v>3</v>
      </c>
      <c r="F18" s="102">
        <v>4</v>
      </c>
      <c r="G18" s="102">
        <v>5</v>
      </c>
      <c r="H18" s="102">
        <v>6</v>
      </c>
      <c r="I18" s="102">
        <v>7</v>
      </c>
      <c r="J18" s="102">
        <v>8</v>
      </c>
      <c r="K18" s="102">
        <v>9</v>
      </c>
      <c r="L18" s="102">
        <v>10</v>
      </c>
      <c r="M18" s="102">
        <v>11</v>
      </c>
      <c r="N18" s="102">
        <v>12</v>
      </c>
      <c r="O18" s="102">
        <v>13</v>
      </c>
      <c r="P18" s="102">
        <v>14</v>
      </c>
      <c r="Q18" s="102">
        <v>15</v>
      </c>
      <c r="R18" s="102">
        <v>16</v>
      </c>
      <c r="S18" s="102">
        <v>17</v>
      </c>
      <c r="T18" s="102">
        <v>18</v>
      </c>
      <c r="U18" s="102">
        <v>19</v>
      </c>
      <c r="V18" s="102">
        <v>20</v>
      </c>
      <c r="W18" s="102">
        <v>21</v>
      </c>
      <c r="X18" s="102">
        <v>22</v>
      </c>
      <c r="Y18" s="102">
        <v>23</v>
      </c>
      <c r="Z18" s="102">
        <v>24</v>
      </c>
      <c r="AA18" s="102">
        <v>25</v>
      </c>
      <c r="AB18" s="102">
        <v>26</v>
      </c>
      <c r="AC18" s="102">
        <v>27</v>
      </c>
      <c r="AD18" s="102">
        <v>28</v>
      </c>
      <c r="AE18" s="102">
        <v>29</v>
      </c>
      <c r="AF18" s="102">
        <v>30</v>
      </c>
      <c r="AG18" s="102"/>
      <c r="AH18" s="137">
        <f>COUNTIF($D19:$AH19,Codice1)</f>
        <v>0</v>
      </c>
      <c r="AI18" s="137">
        <f>COUNTIF($D19:$AH19,Codice2)</f>
        <v>0</v>
      </c>
      <c r="AJ18" s="137">
        <f>COUNTIF($D19:$AH19,Codice3)</f>
        <v>0</v>
      </c>
      <c r="AK18" s="137">
        <f>COUNTIF($D19:$AH19,Codice4)</f>
        <v>0</v>
      </c>
    </row>
    <row r="19" spans="2:37" ht="14.25">
      <c r="B19" s="136"/>
      <c r="C19" s="101" t="str">
        <f>IFERROR(VLOOKUP(RicercaStudente,FrequenzaSettembre[],3,FALSE),"")</f>
        <v/>
      </c>
      <c r="D19" s="101" t="str">
        <f>IFERROR(VLOOKUP(RicercaStudente,FrequenzaSettembre[],4,FALSE),"")</f>
        <v/>
      </c>
      <c r="E19" s="101" t="str">
        <f>IFERROR(VLOOKUP(RicercaStudente,FrequenzaSettembre[],5,FALSE),"")</f>
        <v/>
      </c>
      <c r="F19" s="101" t="str">
        <f>IFERROR(VLOOKUP(RicercaStudente,FrequenzaSettembre[],6,FALSE),"")</f>
        <v/>
      </c>
      <c r="G19" s="101" t="str">
        <f>IFERROR(VLOOKUP(RicercaStudente,FrequenzaSettembre[],7,FALSE),"")</f>
        <v/>
      </c>
      <c r="H19" s="101" t="str">
        <f>IFERROR(VLOOKUP(RicercaStudente,FrequenzaSettembre[],8,FALSE),"")</f>
        <v/>
      </c>
      <c r="I19" s="101" t="str">
        <f>IFERROR(VLOOKUP(RicercaStudente,FrequenzaSettembre[],9,FALSE),"")</f>
        <v/>
      </c>
      <c r="J19" s="101" t="str">
        <f>IFERROR(VLOOKUP(RicercaStudente,FrequenzaSettembre[],10,FALSE),"")</f>
        <v/>
      </c>
      <c r="K19" s="101" t="str">
        <f>IFERROR(VLOOKUP(RicercaStudente,FrequenzaSettembre[],11,FALSE),"")</f>
        <v/>
      </c>
      <c r="L19" s="101" t="str">
        <f>IFERROR(VLOOKUP(RicercaStudente,FrequenzaSettembre[],12,FALSE),"")</f>
        <v/>
      </c>
      <c r="M19" s="101" t="str">
        <f>IFERROR(VLOOKUP(RicercaStudente,FrequenzaSettembre[],13,FALSE),"")</f>
        <v/>
      </c>
      <c r="N19" s="101" t="str">
        <f>IFERROR(VLOOKUP(RicercaStudente,FrequenzaSettembre[],14,FALSE),"")</f>
        <v/>
      </c>
      <c r="O19" s="101" t="str">
        <f>IFERROR(VLOOKUP(RicercaStudente,FrequenzaSettembre[],15,FALSE),"")</f>
        <v/>
      </c>
      <c r="P19" s="101" t="str">
        <f>IFERROR(VLOOKUP(RicercaStudente,FrequenzaSettembre[],16,FALSE),"")</f>
        <v/>
      </c>
      <c r="Q19" s="101" t="str">
        <f>IFERROR(VLOOKUP(RicercaStudente,FrequenzaSettembre[],17,FALSE),"")</f>
        <v/>
      </c>
      <c r="R19" s="101" t="str">
        <f>IFERROR(VLOOKUP(RicercaStudente,FrequenzaSettembre[],18,FALSE),"")</f>
        <v/>
      </c>
      <c r="S19" s="101" t="str">
        <f>IFERROR(VLOOKUP(RicercaStudente,FrequenzaSettembre[],19,FALSE),"")</f>
        <v/>
      </c>
      <c r="T19" s="101" t="str">
        <f>IFERROR(VLOOKUP(RicercaStudente,FrequenzaSettembre[],20,FALSE),"")</f>
        <v/>
      </c>
      <c r="U19" s="101" t="str">
        <f>IFERROR(VLOOKUP(RicercaStudente,FrequenzaSettembre[],21,FALSE),"")</f>
        <v/>
      </c>
      <c r="V19" s="101" t="str">
        <f>IFERROR(VLOOKUP(RicercaStudente,FrequenzaSettembre[],22,FALSE),"")</f>
        <v/>
      </c>
      <c r="W19" s="101" t="str">
        <f>IFERROR(VLOOKUP(RicercaStudente,FrequenzaSettembre[],23,FALSE),"")</f>
        <v/>
      </c>
      <c r="X19" s="101" t="str">
        <f>IFERROR(VLOOKUP(RicercaStudente,FrequenzaSettembre[],24,FALSE),"")</f>
        <v/>
      </c>
      <c r="Y19" s="101" t="str">
        <f>IFERROR(VLOOKUP(RicercaStudente,FrequenzaSettembre[],25,FALSE),"")</f>
        <v/>
      </c>
      <c r="Z19" s="101" t="str">
        <f>IFERROR(VLOOKUP(RicercaStudente,FrequenzaSettembre[],26,FALSE),"")</f>
        <v/>
      </c>
      <c r="AA19" s="101" t="str">
        <f>IFERROR(VLOOKUP(RicercaStudente,FrequenzaSettembre[],27,FALSE),"")</f>
        <v/>
      </c>
      <c r="AB19" s="101" t="str">
        <f>IFERROR(VLOOKUP(RicercaStudente,FrequenzaSettembre[],28,FALSE),"")</f>
        <v/>
      </c>
      <c r="AC19" s="101" t="str">
        <f>IFERROR(VLOOKUP(RicercaStudente,FrequenzaSettembre[],29,FALSE),"")</f>
        <v/>
      </c>
      <c r="AD19" s="101" t="str">
        <f>IFERROR(VLOOKUP(RicercaStudente,FrequenzaSettembre[],30,FALSE),"")</f>
        <v/>
      </c>
      <c r="AE19" s="101" t="str">
        <f>IFERROR(VLOOKUP(RicercaStudente,FrequenzaSettembre[],31,FALSE),"")</f>
        <v/>
      </c>
      <c r="AF19" s="101" t="str">
        <f>IFERROR(VLOOKUP(RicercaStudente,FrequenzaSettembre[],32,FALSE),"")</f>
        <v/>
      </c>
      <c r="AG19" s="101"/>
      <c r="AH19" s="137"/>
      <c r="AI19" s="137"/>
      <c r="AJ19" s="137"/>
      <c r="AK19" s="137"/>
    </row>
    <row r="20" spans="2:37" ht="14.25">
      <c r="B20" s="136" t="s">
        <v>58</v>
      </c>
      <c r="C20" s="102">
        <v>1</v>
      </c>
      <c r="D20" s="102">
        <v>2</v>
      </c>
      <c r="E20" s="102">
        <v>3</v>
      </c>
      <c r="F20" s="102">
        <v>4</v>
      </c>
      <c r="G20" s="102">
        <v>5</v>
      </c>
      <c r="H20" s="102">
        <v>6</v>
      </c>
      <c r="I20" s="102">
        <v>7</v>
      </c>
      <c r="J20" s="102">
        <v>8</v>
      </c>
      <c r="K20" s="102">
        <v>9</v>
      </c>
      <c r="L20" s="102">
        <v>10</v>
      </c>
      <c r="M20" s="102">
        <v>11</v>
      </c>
      <c r="N20" s="102">
        <v>12</v>
      </c>
      <c r="O20" s="102">
        <v>13</v>
      </c>
      <c r="P20" s="102">
        <v>14</v>
      </c>
      <c r="Q20" s="102">
        <v>15</v>
      </c>
      <c r="R20" s="102">
        <v>16</v>
      </c>
      <c r="S20" s="102">
        <v>17</v>
      </c>
      <c r="T20" s="102">
        <v>18</v>
      </c>
      <c r="U20" s="102">
        <v>19</v>
      </c>
      <c r="V20" s="102">
        <v>20</v>
      </c>
      <c r="W20" s="102">
        <v>21</v>
      </c>
      <c r="X20" s="102">
        <v>22</v>
      </c>
      <c r="Y20" s="102">
        <v>23</v>
      </c>
      <c r="Z20" s="102">
        <v>24</v>
      </c>
      <c r="AA20" s="102">
        <v>25</v>
      </c>
      <c r="AB20" s="102">
        <v>26</v>
      </c>
      <c r="AC20" s="102">
        <v>27</v>
      </c>
      <c r="AD20" s="102">
        <v>28</v>
      </c>
      <c r="AE20" s="102">
        <v>29</v>
      </c>
      <c r="AF20" s="102">
        <v>30</v>
      </c>
      <c r="AG20" s="102">
        <v>31</v>
      </c>
      <c r="AH20" s="137">
        <f>COUNTIF($D21:$AH21,Codice1)</f>
        <v>0</v>
      </c>
      <c r="AI20" s="137">
        <f>COUNTIF($D21:$AH21,Codice2)</f>
        <v>0</v>
      </c>
      <c r="AJ20" s="137">
        <f>COUNTIF($D21:$AH21,Codice3)</f>
        <v>0</v>
      </c>
      <c r="AK20" s="137">
        <f>COUNTIF($D21:$AH21,Codice4)</f>
        <v>0</v>
      </c>
    </row>
    <row r="21" spans="2:37" ht="14.25">
      <c r="B21" s="136"/>
      <c r="C21" s="101" t="str">
        <f>IFERROR(VLOOKUP(RicercaStudente,FrequenzaOttobre[],3,FALSE),"")</f>
        <v/>
      </c>
      <c r="D21" s="101" t="str">
        <f>IFERROR(VLOOKUP(RicercaStudente,FrequenzaOttobre[],4,FALSE),"")</f>
        <v/>
      </c>
      <c r="E21" s="101" t="str">
        <f>IFERROR(VLOOKUP(RicercaStudente,FrequenzaOttobre[],5,FALSE),"")</f>
        <v/>
      </c>
      <c r="F21" s="101" t="str">
        <f>IFERROR(VLOOKUP(RicercaStudente,FrequenzaOttobre[],6,FALSE),"")</f>
        <v/>
      </c>
      <c r="G21" s="101" t="str">
        <f>IFERROR(VLOOKUP(RicercaStudente,FrequenzaOttobre[],7,FALSE),"")</f>
        <v/>
      </c>
      <c r="H21" s="101" t="str">
        <f>IFERROR(VLOOKUP(RicercaStudente,FrequenzaOttobre[],8,FALSE),"")</f>
        <v/>
      </c>
      <c r="I21" s="101" t="str">
        <f>IFERROR(VLOOKUP(RicercaStudente,FrequenzaOttobre[],9,FALSE),"")</f>
        <v/>
      </c>
      <c r="J21" s="101" t="str">
        <f>IFERROR(VLOOKUP(RicercaStudente,FrequenzaOttobre[],10,FALSE),"")</f>
        <v/>
      </c>
      <c r="K21" s="101" t="str">
        <f>IFERROR(VLOOKUP(RicercaStudente,FrequenzaOttobre[],11,FALSE),"")</f>
        <v/>
      </c>
      <c r="L21" s="101" t="str">
        <f>IFERROR(VLOOKUP(RicercaStudente,FrequenzaOttobre[],12,FALSE),"")</f>
        <v/>
      </c>
      <c r="M21" s="101" t="str">
        <f>IFERROR(VLOOKUP(RicercaStudente,FrequenzaOttobre[],13,FALSE),"")</f>
        <v/>
      </c>
      <c r="N21" s="101" t="str">
        <f>IFERROR(VLOOKUP(RicercaStudente,FrequenzaOttobre[],14,FALSE),"")</f>
        <v/>
      </c>
      <c r="O21" s="101" t="str">
        <f>IFERROR(VLOOKUP(RicercaStudente,FrequenzaOttobre[],15,FALSE),"")</f>
        <v/>
      </c>
      <c r="P21" s="101" t="str">
        <f>IFERROR(VLOOKUP(RicercaStudente,FrequenzaOttobre[],16,FALSE),"")</f>
        <v/>
      </c>
      <c r="Q21" s="101" t="str">
        <f>IFERROR(VLOOKUP(RicercaStudente,FrequenzaOttobre[],17,FALSE),"")</f>
        <v/>
      </c>
      <c r="R21" s="101" t="str">
        <f>IFERROR(VLOOKUP(RicercaStudente,FrequenzaOttobre[],18,FALSE),"")</f>
        <v/>
      </c>
      <c r="S21" s="101" t="str">
        <f>IFERROR(VLOOKUP(RicercaStudente,FrequenzaOttobre[],19,FALSE),"")</f>
        <v/>
      </c>
      <c r="T21" s="101" t="str">
        <f>IFERROR(VLOOKUP(RicercaStudente,FrequenzaOttobre[],20,FALSE),"")</f>
        <v/>
      </c>
      <c r="U21" s="101" t="str">
        <f>IFERROR(VLOOKUP(RicercaStudente,FrequenzaOttobre[],21,FALSE),"")</f>
        <v/>
      </c>
      <c r="V21" s="101" t="str">
        <f>IFERROR(VLOOKUP(RicercaStudente,FrequenzaOttobre[],22,FALSE),"")</f>
        <v/>
      </c>
      <c r="W21" s="101" t="str">
        <f>IFERROR(VLOOKUP(RicercaStudente,FrequenzaOttobre[],23,FALSE),"")</f>
        <v/>
      </c>
      <c r="X21" s="101" t="str">
        <f>IFERROR(VLOOKUP(RicercaStudente,FrequenzaOttobre[],24,FALSE),"")</f>
        <v/>
      </c>
      <c r="Y21" s="101" t="str">
        <f>IFERROR(VLOOKUP(RicercaStudente,FrequenzaOttobre[],25,FALSE),"")</f>
        <v/>
      </c>
      <c r="Z21" s="101" t="str">
        <f>IFERROR(VLOOKUP(RicercaStudente,FrequenzaOttobre[],26,FALSE),"")</f>
        <v/>
      </c>
      <c r="AA21" s="101" t="str">
        <f>IFERROR(VLOOKUP(RicercaStudente,FrequenzaOttobre[],27,FALSE),"")</f>
        <v/>
      </c>
      <c r="AB21" s="101" t="str">
        <f>IFERROR(VLOOKUP(RicercaStudente,FrequenzaOttobre[],28,FALSE),"")</f>
        <v/>
      </c>
      <c r="AC21" s="101" t="str">
        <f>IFERROR(VLOOKUP(RicercaStudente,FrequenzaOttobre[],29,FALSE),"")</f>
        <v/>
      </c>
      <c r="AD21" s="101" t="str">
        <f>IFERROR(VLOOKUP(RicercaStudente,FrequenzaOttobre[],30,FALSE),"")</f>
        <v/>
      </c>
      <c r="AE21" s="101" t="str">
        <f>IFERROR(VLOOKUP(RicercaStudente,FrequenzaOttobre[],31,FALSE),"")</f>
        <v/>
      </c>
      <c r="AF21" s="101" t="str">
        <f>IFERROR(VLOOKUP(RicercaStudente,FrequenzaOttobre[],32,FALSE),"")</f>
        <v/>
      </c>
      <c r="AG21" s="101" t="str">
        <f>IFERROR(VLOOKUP(RicercaStudente,FrequenzaOttobre[],33,FALSE),"")</f>
        <v/>
      </c>
      <c r="AH21" s="137"/>
      <c r="AI21" s="137"/>
      <c r="AJ21" s="137"/>
      <c r="AK21" s="137"/>
    </row>
    <row r="22" spans="2:37" ht="14.25">
      <c r="B22" s="136" t="s">
        <v>59</v>
      </c>
      <c r="C22" s="102">
        <v>1</v>
      </c>
      <c r="D22" s="102">
        <v>2</v>
      </c>
      <c r="E22" s="102">
        <v>3</v>
      </c>
      <c r="F22" s="102">
        <v>4</v>
      </c>
      <c r="G22" s="102">
        <v>5</v>
      </c>
      <c r="H22" s="102">
        <v>6</v>
      </c>
      <c r="I22" s="102">
        <v>7</v>
      </c>
      <c r="J22" s="102">
        <v>8</v>
      </c>
      <c r="K22" s="102">
        <v>9</v>
      </c>
      <c r="L22" s="102">
        <v>10</v>
      </c>
      <c r="M22" s="102">
        <v>11</v>
      </c>
      <c r="N22" s="102">
        <v>12</v>
      </c>
      <c r="O22" s="102">
        <v>13</v>
      </c>
      <c r="P22" s="102">
        <v>14</v>
      </c>
      <c r="Q22" s="102">
        <v>15</v>
      </c>
      <c r="R22" s="102">
        <v>16</v>
      </c>
      <c r="S22" s="102">
        <v>17</v>
      </c>
      <c r="T22" s="102">
        <v>18</v>
      </c>
      <c r="U22" s="102">
        <v>19</v>
      </c>
      <c r="V22" s="102">
        <v>20</v>
      </c>
      <c r="W22" s="102">
        <v>21</v>
      </c>
      <c r="X22" s="102">
        <v>22</v>
      </c>
      <c r="Y22" s="102">
        <v>23</v>
      </c>
      <c r="Z22" s="102">
        <v>24</v>
      </c>
      <c r="AA22" s="102">
        <v>25</v>
      </c>
      <c r="AB22" s="102">
        <v>26</v>
      </c>
      <c r="AC22" s="102">
        <v>27</v>
      </c>
      <c r="AD22" s="102">
        <v>28</v>
      </c>
      <c r="AE22" s="102">
        <v>29</v>
      </c>
      <c r="AF22" s="102">
        <v>30</v>
      </c>
      <c r="AG22" s="102"/>
      <c r="AH22" s="137">
        <f>COUNTIF($D23:$AH23,Codice1)</f>
        <v>0</v>
      </c>
      <c r="AI22" s="137">
        <f>COUNTIF($D23:$AH23,Codice2)</f>
        <v>0</v>
      </c>
      <c r="AJ22" s="137">
        <f>COUNTIF($D23:$AH23,Codice3)</f>
        <v>0</v>
      </c>
      <c r="AK22" s="137">
        <f>COUNTIF($D23:$AH23,Codice4)</f>
        <v>0</v>
      </c>
    </row>
    <row r="23" spans="2:37" ht="14.25">
      <c r="B23" s="136"/>
      <c r="C23" s="101" t="str">
        <f>IFERROR(VLOOKUP(RicercaStudente,FrequenzaNovembre[],3,FALSE),"")</f>
        <v/>
      </c>
      <c r="D23" s="101" t="str">
        <f>IFERROR(VLOOKUP(RicercaStudente,FrequenzaNovembre[],4,FALSE),"")</f>
        <v/>
      </c>
      <c r="E23" s="101" t="str">
        <f>IFERROR(VLOOKUP(RicercaStudente,FrequenzaNovembre[],5,FALSE),"")</f>
        <v/>
      </c>
      <c r="F23" s="101" t="str">
        <f>IFERROR(VLOOKUP(RicercaStudente,FrequenzaNovembre[],6,FALSE),"")</f>
        <v/>
      </c>
      <c r="G23" s="101" t="str">
        <f>IFERROR(VLOOKUP(RicercaStudente,FrequenzaNovembre[],7,FALSE),"")</f>
        <v/>
      </c>
      <c r="H23" s="101" t="str">
        <f>IFERROR(VLOOKUP(RicercaStudente,FrequenzaNovembre[],8,FALSE),"")</f>
        <v/>
      </c>
      <c r="I23" s="101" t="str">
        <f>IFERROR(VLOOKUP(RicercaStudente,FrequenzaNovembre[],9,FALSE),"")</f>
        <v/>
      </c>
      <c r="J23" s="101" t="str">
        <f>IFERROR(VLOOKUP(RicercaStudente,FrequenzaNovembre[],10,FALSE),"")</f>
        <v/>
      </c>
      <c r="K23" s="101" t="str">
        <f>IFERROR(VLOOKUP(RicercaStudente,FrequenzaNovembre[],11,FALSE),"")</f>
        <v/>
      </c>
      <c r="L23" s="101" t="str">
        <f>IFERROR(VLOOKUP(RicercaStudente,FrequenzaNovembre[],12,FALSE),"")</f>
        <v/>
      </c>
      <c r="M23" s="101" t="str">
        <f>IFERROR(VLOOKUP(RicercaStudente,FrequenzaNovembre[],13,FALSE),"")</f>
        <v/>
      </c>
      <c r="N23" s="101" t="str">
        <f>IFERROR(VLOOKUP(RicercaStudente,FrequenzaNovembre[],14,FALSE),"")</f>
        <v/>
      </c>
      <c r="O23" s="101" t="str">
        <f>IFERROR(VLOOKUP(RicercaStudente,FrequenzaNovembre[],15,FALSE),"")</f>
        <v/>
      </c>
      <c r="P23" s="101" t="str">
        <f>IFERROR(VLOOKUP(RicercaStudente,FrequenzaNovembre[],16,FALSE),"")</f>
        <v/>
      </c>
      <c r="Q23" s="101" t="str">
        <f>IFERROR(VLOOKUP(RicercaStudente,FrequenzaNovembre[],17,FALSE),"")</f>
        <v/>
      </c>
      <c r="R23" s="101" t="str">
        <f>IFERROR(VLOOKUP(RicercaStudente,FrequenzaNovembre[],18,FALSE),"")</f>
        <v/>
      </c>
      <c r="S23" s="101" t="str">
        <f>IFERROR(VLOOKUP(RicercaStudente,FrequenzaNovembre[],19,FALSE),"")</f>
        <v/>
      </c>
      <c r="T23" s="101" t="str">
        <f>IFERROR(VLOOKUP(RicercaStudente,FrequenzaNovembre[],20,FALSE),"")</f>
        <v/>
      </c>
      <c r="U23" s="101" t="str">
        <f>IFERROR(VLOOKUP(RicercaStudente,FrequenzaNovembre[],21,FALSE),"")</f>
        <v/>
      </c>
      <c r="V23" s="101" t="str">
        <f>IFERROR(VLOOKUP(RicercaStudente,FrequenzaNovembre[],22,FALSE),"")</f>
        <v/>
      </c>
      <c r="W23" s="101" t="str">
        <f>IFERROR(VLOOKUP(RicercaStudente,FrequenzaNovembre[],23,FALSE),"")</f>
        <v/>
      </c>
      <c r="X23" s="101" t="str">
        <f>IFERROR(VLOOKUP(RicercaStudente,FrequenzaNovembre[],24,FALSE),"")</f>
        <v/>
      </c>
      <c r="Y23" s="101" t="str">
        <f>IFERROR(VLOOKUP(RicercaStudente,FrequenzaNovembre[],25,FALSE),"")</f>
        <v/>
      </c>
      <c r="Z23" s="101" t="str">
        <f>IFERROR(VLOOKUP(RicercaStudente,FrequenzaNovembre[],26,FALSE),"")</f>
        <v/>
      </c>
      <c r="AA23" s="101" t="str">
        <f>IFERROR(VLOOKUP(RicercaStudente,FrequenzaNovembre[],27,FALSE),"")</f>
        <v/>
      </c>
      <c r="AB23" s="101" t="str">
        <f>IFERROR(VLOOKUP(RicercaStudente,FrequenzaNovembre[],28,FALSE),"")</f>
        <v/>
      </c>
      <c r="AC23" s="101" t="str">
        <f>IFERROR(VLOOKUP(RicercaStudente,FrequenzaNovembre[],29,FALSE),"")</f>
        <v/>
      </c>
      <c r="AD23" s="101" t="str">
        <f>IFERROR(VLOOKUP(RicercaStudente,FrequenzaNovembre[],30,FALSE),"")</f>
        <v/>
      </c>
      <c r="AE23" s="101" t="str">
        <f>IFERROR(VLOOKUP(RicercaStudente,FrequenzaNovembre[],31,FALSE),"")</f>
        <v/>
      </c>
      <c r="AF23" s="101" t="str">
        <f>IFERROR(VLOOKUP(RicercaStudente,FrequenzaNovembre[],32,FALSE),"")</f>
        <v/>
      </c>
      <c r="AG23" s="101"/>
      <c r="AH23" s="137"/>
      <c r="AI23" s="137"/>
      <c r="AJ23" s="137"/>
      <c r="AK23" s="137"/>
    </row>
    <row r="24" spans="2:37" ht="14.25">
      <c r="B24" s="136" t="s">
        <v>60</v>
      </c>
      <c r="C24" s="102">
        <v>1</v>
      </c>
      <c r="D24" s="102">
        <v>2</v>
      </c>
      <c r="E24" s="102">
        <v>3</v>
      </c>
      <c r="F24" s="102">
        <v>4</v>
      </c>
      <c r="G24" s="102">
        <v>5</v>
      </c>
      <c r="H24" s="102">
        <v>6</v>
      </c>
      <c r="I24" s="102">
        <v>7</v>
      </c>
      <c r="J24" s="102">
        <v>8</v>
      </c>
      <c r="K24" s="102">
        <v>9</v>
      </c>
      <c r="L24" s="102">
        <v>10</v>
      </c>
      <c r="M24" s="102">
        <v>11</v>
      </c>
      <c r="N24" s="102">
        <v>12</v>
      </c>
      <c r="O24" s="102">
        <v>13</v>
      </c>
      <c r="P24" s="102">
        <v>14</v>
      </c>
      <c r="Q24" s="102">
        <v>15</v>
      </c>
      <c r="R24" s="102">
        <v>16</v>
      </c>
      <c r="S24" s="102">
        <v>17</v>
      </c>
      <c r="T24" s="102">
        <v>18</v>
      </c>
      <c r="U24" s="102">
        <v>19</v>
      </c>
      <c r="V24" s="102">
        <v>20</v>
      </c>
      <c r="W24" s="102">
        <v>21</v>
      </c>
      <c r="X24" s="102">
        <v>22</v>
      </c>
      <c r="Y24" s="102">
        <v>23</v>
      </c>
      <c r="Z24" s="102">
        <v>24</v>
      </c>
      <c r="AA24" s="102">
        <v>25</v>
      </c>
      <c r="AB24" s="102">
        <v>26</v>
      </c>
      <c r="AC24" s="102">
        <v>27</v>
      </c>
      <c r="AD24" s="102">
        <v>28</v>
      </c>
      <c r="AE24" s="102">
        <v>29</v>
      </c>
      <c r="AF24" s="102">
        <v>30</v>
      </c>
      <c r="AG24" s="102">
        <v>31</v>
      </c>
      <c r="AH24" s="137">
        <f>COUNTIF($D25:$AH25,Codice1)</f>
        <v>0</v>
      </c>
      <c r="AI24" s="137">
        <f>COUNTIF($D25:$AH25,Codice2)</f>
        <v>0</v>
      </c>
      <c r="AJ24" s="137">
        <f>COUNTIF($D25:$AH25,Codice3)</f>
        <v>0</v>
      </c>
      <c r="AK24" s="137">
        <f>COUNTIF($D25:$AH25,Codice4)</f>
        <v>0</v>
      </c>
    </row>
    <row r="25" spans="2:37" ht="14.25">
      <c r="B25" s="136"/>
      <c r="C25" s="101" t="str">
        <f>IFERROR(VLOOKUP(RicercaStudente,FrequenzaDicembre[],3,FALSE),"")</f>
        <v/>
      </c>
      <c r="D25" s="101" t="str">
        <f>IFERROR(VLOOKUP(RicercaStudente,FrequenzaDicembre[],4,FALSE),"")</f>
        <v/>
      </c>
      <c r="E25" s="101" t="str">
        <f>IFERROR(VLOOKUP(RicercaStudente,FrequenzaDicembre[],5,FALSE),"")</f>
        <v/>
      </c>
      <c r="F25" s="101" t="str">
        <f>IFERROR(VLOOKUP(RicercaStudente,FrequenzaDicembre[],6,FALSE),"")</f>
        <v/>
      </c>
      <c r="G25" s="101" t="str">
        <f>IFERROR(VLOOKUP(RicercaStudente,FrequenzaDicembre[],7,FALSE),"")</f>
        <v/>
      </c>
      <c r="H25" s="101" t="str">
        <f>IFERROR(VLOOKUP(RicercaStudente,FrequenzaDicembre[],8,FALSE),"")</f>
        <v/>
      </c>
      <c r="I25" s="101" t="str">
        <f>IFERROR(VLOOKUP(RicercaStudente,FrequenzaDicembre[],9,FALSE),"")</f>
        <v/>
      </c>
      <c r="J25" s="101" t="str">
        <f>IFERROR(VLOOKUP(RicercaStudente,FrequenzaDicembre[],10,FALSE),"")</f>
        <v/>
      </c>
      <c r="K25" s="101" t="str">
        <f>IFERROR(VLOOKUP(RicercaStudente,FrequenzaDicembre[],11,FALSE),"")</f>
        <v/>
      </c>
      <c r="L25" s="101" t="str">
        <f>IFERROR(VLOOKUP(RicercaStudente,FrequenzaDicembre[],12,FALSE),"")</f>
        <v/>
      </c>
      <c r="M25" s="101" t="str">
        <f>IFERROR(VLOOKUP(RicercaStudente,FrequenzaDicembre[],13,FALSE),"")</f>
        <v/>
      </c>
      <c r="N25" s="101" t="str">
        <f>IFERROR(VLOOKUP(RicercaStudente,FrequenzaDicembre[],14,FALSE),"")</f>
        <v/>
      </c>
      <c r="O25" s="101" t="str">
        <f>IFERROR(VLOOKUP(RicercaStudente,FrequenzaDicembre[],15,FALSE),"")</f>
        <v/>
      </c>
      <c r="P25" s="101" t="str">
        <f>IFERROR(VLOOKUP(RicercaStudente,FrequenzaDicembre[],16,FALSE),"")</f>
        <v/>
      </c>
      <c r="Q25" s="101" t="str">
        <f>IFERROR(VLOOKUP(RicercaStudente,FrequenzaDicembre[],17,FALSE),"")</f>
        <v/>
      </c>
      <c r="R25" s="101" t="str">
        <f>IFERROR(VLOOKUP(RicercaStudente,FrequenzaDicembre[],18,FALSE),"")</f>
        <v/>
      </c>
      <c r="S25" s="101" t="str">
        <f>IFERROR(VLOOKUP(RicercaStudente,FrequenzaDicembre[],19,FALSE),"")</f>
        <v/>
      </c>
      <c r="T25" s="101" t="str">
        <f>IFERROR(VLOOKUP(RicercaStudente,FrequenzaDicembre[],20,FALSE),"")</f>
        <v/>
      </c>
      <c r="U25" s="101" t="str">
        <f>IFERROR(VLOOKUP(RicercaStudente,FrequenzaDicembre[],21,FALSE),"")</f>
        <v/>
      </c>
      <c r="V25" s="101" t="str">
        <f>IFERROR(VLOOKUP(RicercaStudente,FrequenzaDicembre[],22,FALSE),"")</f>
        <v/>
      </c>
      <c r="W25" s="101" t="str">
        <f>IFERROR(VLOOKUP(RicercaStudente,FrequenzaDicembre[],23,FALSE),"")</f>
        <v/>
      </c>
      <c r="X25" s="101" t="str">
        <f>IFERROR(VLOOKUP(RicercaStudente,FrequenzaDicembre[],24,FALSE),"")</f>
        <v/>
      </c>
      <c r="Y25" s="101" t="str">
        <f>IFERROR(VLOOKUP(RicercaStudente,FrequenzaDicembre[],25,FALSE),"")</f>
        <v/>
      </c>
      <c r="Z25" s="101" t="str">
        <f>IFERROR(VLOOKUP(RicercaStudente,FrequenzaDicembre[],26,FALSE),"")</f>
        <v/>
      </c>
      <c r="AA25" s="101" t="str">
        <f>IFERROR(VLOOKUP(RicercaStudente,FrequenzaDicembre[],27,FALSE),"")</f>
        <v/>
      </c>
      <c r="AB25" s="101" t="str">
        <f>IFERROR(VLOOKUP(RicercaStudente,FrequenzaDicembre[],28,FALSE),"")</f>
        <v/>
      </c>
      <c r="AC25" s="101" t="str">
        <f>IFERROR(VLOOKUP(RicercaStudente,FrequenzaDicembre[],29,FALSE),"")</f>
        <v/>
      </c>
      <c r="AD25" s="101" t="str">
        <f>IFERROR(VLOOKUP(RicercaStudente,FrequenzaDicembre[],30,FALSE),"")</f>
        <v/>
      </c>
      <c r="AE25" s="101" t="str">
        <f>IFERROR(VLOOKUP(RicercaStudente,FrequenzaDicembre[],31,FALSE),"")</f>
        <v/>
      </c>
      <c r="AF25" s="101" t="str">
        <f>IFERROR(VLOOKUP(RicercaStudente,FrequenzaDicembre[],32,FALSE),"")</f>
        <v/>
      </c>
      <c r="AG25" s="101" t="str">
        <f>IFERROR(VLOOKUP(RicercaStudente,FrequenzaDicembre[],33,FALSE),"")</f>
        <v/>
      </c>
      <c r="AH25" s="137"/>
      <c r="AI25" s="137"/>
      <c r="AJ25" s="137"/>
      <c r="AK25" s="137"/>
    </row>
    <row r="26" spans="2:37" ht="14.25">
      <c r="B26" s="136" t="s">
        <v>61</v>
      </c>
      <c r="C26" s="102">
        <v>1</v>
      </c>
      <c r="D26" s="102">
        <v>2</v>
      </c>
      <c r="E26" s="102">
        <v>3</v>
      </c>
      <c r="F26" s="102">
        <v>4</v>
      </c>
      <c r="G26" s="102">
        <v>5</v>
      </c>
      <c r="H26" s="102">
        <v>6</v>
      </c>
      <c r="I26" s="102">
        <v>7</v>
      </c>
      <c r="J26" s="102">
        <v>8</v>
      </c>
      <c r="K26" s="102">
        <v>9</v>
      </c>
      <c r="L26" s="102">
        <v>10</v>
      </c>
      <c r="M26" s="102">
        <v>11</v>
      </c>
      <c r="N26" s="102">
        <v>12</v>
      </c>
      <c r="O26" s="102">
        <v>13</v>
      </c>
      <c r="P26" s="102">
        <v>14</v>
      </c>
      <c r="Q26" s="102">
        <v>15</v>
      </c>
      <c r="R26" s="102">
        <v>16</v>
      </c>
      <c r="S26" s="102">
        <v>17</v>
      </c>
      <c r="T26" s="102">
        <v>18</v>
      </c>
      <c r="U26" s="102">
        <v>19</v>
      </c>
      <c r="V26" s="102">
        <v>20</v>
      </c>
      <c r="W26" s="102">
        <v>21</v>
      </c>
      <c r="X26" s="102">
        <v>22</v>
      </c>
      <c r="Y26" s="102">
        <v>23</v>
      </c>
      <c r="Z26" s="102">
        <v>24</v>
      </c>
      <c r="AA26" s="102">
        <v>25</v>
      </c>
      <c r="AB26" s="102">
        <v>26</v>
      </c>
      <c r="AC26" s="102">
        <v>27</v>
      </c>
      <c r="AD26" s="102">
        <v>28</v>
      </c>
      <c r="AE26" s="102">
        <v>29</v>
      </c>
      <c r="AF26" s="102">
        <v>30</v>
      </c>
      <c r="AG26" s="102">
        <v>31</v>
      </c>
      <c r="AH26" s="137">
        <f>COUNTIF($D27:$AH27,Codice1)</f>
        <v>0</v>
      </c>
      <c r="AI26" s="137">
        <f>COUNTIF($D27:$AH27,Codice2)</f>
        <v>0</v>
      </c>
      <c r="AJ26" s="137">
        <f>COUNTIF($D27:$AH27,Codice3)</f>
        <v>0</v>
      </c>
      <c r="AK26" s="137">
        <f>COUNTIF($D27:$AH27,Codice4)</f>
        <v>0</v>
      </c>
    </row>
    <row r="27" spans="2:37" ht="14.25">
      <c r="B27" s="136"/>
      <c r="C27" s="101" t="str">
        <f>IFERROR(VLOOKUP(RicercaStudente,FrequenzaGennaio[],3,FALSE),"")</f>
        <v/>
      </c>
      <c r="D27" s="101" t="str">
        <f>IFERROR(VLOOKUP(RicercaStudente,FrequenzaGennaio[],4,FALSE),"")</f>
        <v/>
      </c>
      <c r="E27" s="101" t="str">
        <f>IFERROR(VLOOKUP(RicercaStudente,FrequenzaGennaio[],5,FALSE),"")</f>
        <v/>
      </c>
      <c r="F27" s="101" t="str">
        <f>IFERROR(VLOOKUP(RicercaStudente,FrequenzaGennaio[],6,FALSE),"")</f>
        <v/>
      </c>
      <c r="G27" s="101" t="str">
        <f>IFERROR(VLOOKUP(RicercaStudente,FrequenzaGennaio[],7,FALSE),"")</f>
        <v/>
      </c>
      <c r="H27" s="101" t="str">
        <f>IFERROR(VLOOKUP(RicercaStudente,FrequenzaGennaio[],8,FALSE),"")</f>
        <v/>
      </c>
      <c r="I27" s="101" t="str">
        <f>IFERROR(VLOOKUP(RicercaStudente,FrequenzaGennaio[],9,FALSE),"")</f>
        <v/>
      </c>
      <c r="J27" s="101" t="str">
        <f>IFERROR(VLOOKUP(RicercaStudente,FrequenzaGennaio[],10,FALSE),"")</f>
        <v/>
      </c>
      <c r="K27" s="101" t="str">
        <f>IFERROR(VLOOKUP(RicercaStudente,FrequenzaGennaio[],11,FALSE),"")</f>
        <v/>
      </c>
      <c r="L27" s="101" t="str">
        <f>IFERROR(VLOOKUP(RicercaStudente,FrequenzaGennaio[],12,FALSE),"")</f>
        <v/>
      </c>
      <c r="M27" s="101" t="str">
        <f>IFERROR(VLOOKUP(RicercaStudente,FrequenzaGennaio[],13,FALSE),"")</f>
        <v/>
      </c>
      <c r="N27" s="101" t="str">
        <f>IFERROR(VLOOKUP(RicercaStudente,FrequenzaGennaio[],14,FALSE),"")</f>
        <v/>
      </c>
      <c r="O27" s="101" t="str">
        <f>IFERROR(VLOOKUP(RicercaStudente,FrequenzaGennaio[],15,FALSE),"")</f>
        <v/>
      </c>
      <c r="P27" s="101" t="str">
        <f>IFERROR(VLOOKUP(RicercaStudente,FrequenzaGennaio[],16,FALSE),"")</f>
        <v/>
      </c>
      <c r="Q27" s="101" t="str">
        <f>IFERROR(VLOOKUP(RicercaStudente,FrequenzaGennaio[],17,FALSE),"")</f>
        <v/>
      </c>
      <c r="R27" s="101" t="str">
        <f>IFERROR(VLOOKUP(RicercaStudente,FrequenzaGennaio[],18,FALSE),"")</f>
        <v/>
      </c>
      <c r="S27" s="101" t="str">
        <f>IFERROR(VLOOKUP(RicercaStudente,FrequenzaGennaio[],19,FALSE),"")</f>
        <v/>
      </c>
      <c r="T27" s="101" t="str">
        <f>IFERROR(VLOOKUP(RicercaStudente,FrequenzaGennaio[],20,FALSE),"")</f>
        <v/>
      </c>
      <c r="U27" s="101" t="str">
        <f>IFERROR(VLOOKUP(RicercaStudente,FrequenzaGennaio[],21,FALSE),"")</f>
        <v/>
      </c>
      <c r="V27" s="101" t="str">
        <f>IFERROR(VLOOKUP(RicercaStudente,FrequenzaGennaio[],22,FALSE),"")</f>
        <v/>
      </c>
      <c r="W27" s="101" t="str">
        <f>IFERROR(VLOOKUP(RicercaStudente,FrequenzaGennaio[],23,FALSE),"")</f>
        <v/>
      </c>
      <c r="X27" s="101" t="str">
        <f>IFERROR(VLOOKUP(RicercaStudente,FrequenzaGennaio[],24,FALSE),"")</f>
        <v/>
      </c>
      <c r="Y27" s="101" t="str">
        <f>IFERROR(VLOOKUP(RicercaStudente,FrequenzaGennaio[],25,FALSE),"")</f>
        <v/>
      </c>
      <c r="Z27" s="101" t="str">
        <f>IFERROR(VLOOKUP(RicercaStudente,FrequenzaGennaio[],26,FALSE),"")</f>
        <v/>
      </c>
      <c r="AA27" s="101" t="str">
        <f>IFERROR(VLOOKUP(RicercaStudente,FrequenzaGennaio[],27,FALSE),"")</f>
        <v/>
      </c>
      <c r="AB27" s="101" t="str">
        <f>IFERROR(VLOOKUP(RicercaStudente,FrequenzaGennaio[],28,FALSE),"")</f>
        <v/>
      </c>
      <c r="AC27" s="101" t="str">
        <f>IFERROR(VLOOKUP(RicercaStudente,FrequenzaGennaio[],29,FALSE),"")</f>
        <v/>
      </c>
      <c r="AD27" s="101" t="str">
        <f>IFERROR(VLOOKUP(RicercaStudente,FrequenzaGennaio[],30,FALSE),"")</f>
        <v/>
      </c>
      <c r="AE27" s="101" t="str">
        <f>IFERROR(VLOOKUP(RicercaStudente,FrequenzaGennaio[],31,FALSE),"")</f>
        <v/>
      </c>
      <c r="AF27" s="101" t="str">
        <f>IFERROR(VLOOKUP(RicercaStudente,FrequenzaGennaio[],32,FALSE),"")</f>
        <v/>
      </c>
      <c r="AG27" s="101" t="str">
        <f>IFERROR(VLOOKUP(RicercaStudente,FrequenzaGennaio[],33,FALSE),"")</f>
        <v/>
      </c>
      <c r="AH27" s="137"/>
      <c r="AI27" s="137"/>
      <c r="AJ27" s="137"/>
      <c r="AK27" s="137"/>
    </row>
    <row r="28" spans="2:37" ht="14.25">
      <c r="B28" s="136" t="s">
        <v>62</v>
      </c>
      <c r="C28" s="102">
        <v>1</v>
      </c>
      <c r="D28" s="102">
        <v>2</v>
      </c>
      <c r="E28" s="102">
        <v>3</v>
      </c>
      <c r="F28" s="102">
        <v>4</v>
      </c>
      <c r="G28" s="102">
        <v>5</v>
      </c>
      <c r="H28" s="102">
        <v>6</v>
      </c>
      <c r="I28" s="102">
        <v>7</v>
      </c>
      <c r="J28" s="102">
        <v>8</v>
      </c>
      <c r="K28" s="102">
        <v>9</v>
      </c>
      <c r="L28" s="102">
        <v>10</v>
      </c>
      <c r="M28" s="102">
        <v>11</v>
      </c>
      <c r="N28" s="102">
        <v>12</v>
      </c>
      <c r="O28" s="102">
        <v>13</v>
      </c>
      <c r="P28" s="102">
        <v>14</v>
      </c>
      <c r="Q28" s="102">
        <v>15</v>
      </c>
      <c r="R28" s="102">
        <v>16</v>
      </c>
      <c r="S28" s="102">
        <v>17</v>
      </c>
      <c r="T28" s="102">
        <v>18</v>
      </c>
      <c r="U28" s="102">
        <v>19</v>
      </c>
      <c r="V28" s="102">
        <v>20</v>
      </c>
      <c r="W28" s="102">
        <v>21</v>
      </c>
      <c r="X28" s="102">
        <v>22</v>
      </c>
      <c r="Y28" s="102">
        <v>23</v>
      </c>
      <c r="Z28" s="102">
        <v>24</v>
      </c>
      <c r="AA28" s="102">
        <v>25</v>
      </c>
      <c r="AB28" s="102">
        <v>26</v>
      </c>
      <c r="AC28" s="102">
        <v>27</v>
      </c>
      <c r="AD28" s="102">
        <v>28</v>
      </c>
      <c r="AE28" s="102">
        <v>29</v>
      </c>
      <c r="AF28" s="102"/>
      <c r="AG28" s="102"/>
      <c r="AH28" s="137">
        <f>COUNTIF($D29:$AH29,Codice1)</f>
        <v>0</v>
      </c>
      <c r="AI28" s="137">
        <f>COUNTIF($D29:$AH29,Codice2)</f>
        <v>0</v>
      </c>
      <c r="AJ28" s="137">
        <f>COUNTIF($D29:$AH29,Codice3)</f>
        <v>0</v>
      </c>
      <c r="AK28" s="137">
        <f>COUNTIF($D29:$AH29,Codice4)</f>
        <v>0</v>
      </c>
    </row>
    <row r="29" spans="2:37" ht="14.25">
      <c r="B29" s="136"/>
      <c r="C29" s="101" t="str">
        <f>IFERROR(VLOOKUP(RicercaStudente,FrequenzaFebbraio[],3,FALSE),"")</f>
        <v/>
      </c>
      <c r="D29" s="101" t="str">
        <f>IFERROR(VLOOKUP(RicercaStudente,FrequenzaFebbraio[],4,FALSE),"")</f>
        <v/>
      </c>
      <c r="E29" s="101" t="str">
        <f>IFERROR(VLOOKUP(RicercaStudente,FrequenzaFebbraio[],5,FALSE),"")</f>
        <v/>
      </c>
      <c r="F29" s="101" t="str">
        <f>IFERROR(VLOOKUP(RicercaStudente,FrequenzaFebbraio[],6,FALSE),"")</f>
        <v/>
      </c>
      <c r="G29" s="101" t="str">
        <f>IFERROR(VLOOKUP(RicercaStudente,FrequenzaFebbraio[],7,FALSE),"")</f>
        <v/>
      </c>
      <c r="H29" s="101" t="str">
        <f>IFERROR(VLOOKUP(RicercaStudente,FrequenzaFebbraio[],8,FALSE),"")</f>
        <v/>
      </c>
      <c r="I29" s="101" t="str">
        <f>IFERROR(VLOOKUP(RicercaStudente,FrequenzaFebbraio[],9,FALSE),"")</f>
        <v/>
      </c>
      <c r="J29" s="101" t="str">
        <f>IFERROR(VLOOKUP(RicercaStudente,FrequenzaFebbraio[],10,FALSE),"")</f>
        <v/>
      </c>
      <c r="K29" s="101" t="str">
        <f>IFERROR(VLOOKUP(RicercaStudente,FrequenzaFebbraio[],11,FALSE),"")</f>
        <v/>
      </c>
      <c r="L29" s="101" t="str">
        <f>IFERROR(VLOOKUP(RicercaStudente,FrequenzaFebbraio[],12,FALSE),"")</f>
        <v/>
      </c>
      <c r="M29" s="101" t="str">
        <f>IFERROR(VLOOKUP(RicercaStudente,FrequenzaFebbraio[],13,FALSE),"")</f>
        <v/>
      </c>
      <c r="N29" s="101" t="str">
        <f>IFERROR(VLOOKUP(RicercaStudente,FrequenzaFebbraio[],14,FALSE),"")</f>
        <v/>
      </c>
      <c r="O29" s="101" t="str">
        <f>IFERROR(VLOOKUP(RicercaStudente,FrequenzaFebbraio[],15,FALSE),"")</f>
        <v/>
      </c>
      <c r="P29" s="101" t="str">
        <f>IFERROR(VLOOKUP(RicercaStudente,FrequenzaFebbraio[],16,FALSE),"")</f>
        <v/>
      </c>
      <c r="Q29" s="101" t="str">
        <f>IFERROR(VLOOKUP(RicercaStudente,FrequenzaFebbraio[],17,FALSE),"")</f>
        <v/>
      </c>
      <c r="R29" s="101" t="str">
        <f>IFERROR(VLOOKUP(RicercaStudente,FrequenzaFebbraio[],18,FALSE),"")</f>
        <v/>
      </c>
      <c r="S29" s="101" t="str">
        <f>IFERROR(VLOOKUP(RicercaStudente,FrequenzaFebbraio[],19,FALSE),"")</f>
        <v/>
      </c>
      <c r="T29" s="101" t="str">
        <f>IFERROR(VLOOKUP(RicercaStudente,FrequenzaFebbraio[],20,FALSE),"")</f>
        <v/>
      </c>
      <c r="U29" s="101" t="str">
        <f>IFERROR(VLOOKUP(RicercaStudente,FrequenzaFebbraio[],21,FALSE),"")</f>
        <v/>
      </c>
      <c r="V29" s="101" t="str">
        <f>IFERROR(VLOOKUP(RicercaStudente,FrequenzaFebbraio[],22,FALSE),"")</f>
        <v/>
      </c>
      <c r="W29" s="101" t="str">
        <f>IFERROR(VLOOKUP(RicercaStudente,FrequenzaFebbraio[],23,FALSE),"")</f>
        <v/>
      </c>
      <c r="X29" s="101" t="str">
        <f>IFERROR(VLOOKUP(RicercaStudente,FrequenzaFebbraio[],24,FALSE),"")</f>
        <v/>
      </c>
      <c r="Y29" s="101" t="str">
        <f>IFERROR(VLOOKUP(RicercaStudente,FrequenzaFebbraio[],25,FALSE),"")</f>
        <v/>
      </c>
      <c r="Z29" s="101" t="str">
        <f>IFERROR(VLOOKUP(RicercaStudente,FrequenzaFebbraio[],26,FALSE),"")</f>
        <v/>
      </c>
      <c r="AA29" s="101" t="str">
        <f>IFERROR(VLOOKUP(RicercaStudente,FrequenzaFebbraio[],27,FALSE),"")</f>
        <v/>
      </c>
      <c r="AB29" s="101" t="str">
        <f>IFERROR(VLOOKUP(RicercaStudente,FrequenzaFebbraio[],28,FALSE),"")</f>
        <v/>
      </c>
      <c r="AC29" s="101" t="str">
        <f>IFERROR(VLOOKUP(RicercaStudente,FrequenzaFebbraio[],29,FALSE),"")</f>
        <v/>
      </c>
      <c r="AD29" s="101" t="str">
        <f>IFERROR(VLOOKUP(RicercaStudente,FrequenzaFebbraio[],30,FALSE),"")</f>
        <v/>
      </c>
      <c r="AE29" s="101" t="str">
        <f>IFERROR(VLOOKUP(RicercaStudente,FrequenzaFebbraio[],31,FALSE),"")</f>
        <v/>
      </c>
      <c r="AF29" s="101"/>
      <c r="AG29" s="101"/>
      <c r="AH29" s="137"/>
      <c r="AI29" s="137"/>
      <c r="AJ29" s="137"/>
      <c r="AK29" s="137"/>
    </row>
    <row r="30" spans="2:37" ht="14.25">
      <c r="B30" s="136" t="s">
        <v>63</v>
      </c>
      <c r="C30" s="102">
        <v>1</v>
      </c>
      <c r="D30" s="102">
        <v>2</v>
      </c>
      <c r="E30" s="102">
        <v>3</v>
      </c>
      <c r="F30" s="102">
        <v>4</v>
      </c>
      <c r="G30" s="102">
        <v>5</v>
      </c>
      <c r="H30" s="102">
        <v>6</v>
      </c>
      <c r="I30" s="102">
        <v>7</v>
      </c>
      <c r="J30" s="102">
        <v>8</v>
      </c>
      <c r="K30" s="102">
        <v>9</v>
      </c>
      <c r="L30" s="102">
        <v>10</v>
      </c>
      <c r="M30" s="102">
        <v>11</v>
      </c>
      <c r="N30" s="102">
        <v>12</v>
      </c>
      <c r="O30" s="102">
        <v>13</v>
      </c>
      <c r="P30" s="102">
        <v>14</v>
      </c>
      <c r="Q30" s="102">
        <v>15</v>
      </c>
      <c r="R30" s="102">
        <v>16</v>
      </c>
      <c r="S30" s="102">
        <v>17</v>
      </c>
      <c r="T30" s="102">
        <v>18</v>
      </c>
      <c r="U30" s="102">
        <v>19</v>
      </c>
      <c r="V30" s="102">
        <v>20</v>
      </c>
      <c r="W30" s="102">
        <v>21</v>
      </c>
      <c r="X30" s="102">
        <v>22</v>
      </c>
      <c r="Y30" s="102">
        <v>23</v>
      </c>
      <c r="Z30" s="102">
        <v>24</v>
      </c>
      <c r="AA30" s="102">
        <v>25</v>
      </c>
      <c r="AB30" s="102">
        <v>26</v>
      </c>
      <c r="AC30" s="102">
        <v>27</v>
      </c>
      <c r="AD30" s="102">
        <v>28</v>
      </c>
      <c r="AE30" s="102">
        <v>29</v>
      </c>
      <c r="AF30" s="102">
        <v>30</v>
      </c>
      <c r="AG30" s="102">
        <v>31</v>
      </c>
      <c r="AH30" s="137">
        <f>COUNTIF($D31:$AH31,Codice1)</f>
        <v>0</v>
      </c>
      <c r="AI30" s="137">
        <f>COUNTIF($D31:$AH31,Codice2)</f>
        <v>0</v>
      </c>
      <c r="AJ30" s="137">
        <f>COUNTIF($D31:$AH31,Codice3)</f>
        <v>0</v>
      </c>
      <c r="AK30" s="137">
        <f>COUNTIF($D31:$AH31,Codice4)</f>
        <v>0</v>
      </c>
    </row>
    <row r="31" spans="2:37" ht="14.25">
      <c r="B31" s="136"/>
      <c r="C31" s="101" t="str">
        <f>IFERROR(VLOOKUP(RicercaStudente,FrequenzaMarzo[],3,FALSE),"")</f>
        <v/>
      </c>
      <c r="D31" s="101" t="str">
        <f>IFERROR(VLOOKUP(RicercaStudente,FrequenzaMarzo[],4,FALSE),"")</f>
        <v/>
      </c>
      <c r="E31" s="101" t="str">
        <f>IFERROR(VLOOKUP(RicercaStudente,FrequenzaMarzo[],5,FALSE),"")</f>
        <v/>
      </c>
      <c r="F31" s="101" t="str">
        <f>IFERROR(VLOOKUP(RicercaStudente,FrequenzaMarzo[],6,FALSE),"")</f>
        <v/>
      </c>
      <c r="G31" s="101" t="str">
        <f>IFERROR(VLOOKUP(RicercaStudente,FrequenzaMarzo[],7,FALSE),"")</f>
        <v/>
      </c>
      <c r="H31" s="101" t="str">
        <f>IFERROR(VLOOKUP(RicercaStudente,FrequenzaMarzo[],8,FALSE),"")</f>
        <v/>
      </c>
      <c r="I31" s="101" t="str">
        <f>IFERROR(VLOOKUP(RicercaStudente,FrequenzaMarzo[],9,FALSE),"")</f>
        <v/>
      </c>
      <c r="J31" s="101" t="str">
        <f>IFERROR(VLOOKUP(RicercaStudente,FrequenzaMarzo[],10,FALSE),"")</f>
        <v/>
      </c>
      <c r="K31" s="101" t="str">
        <f>IFERROR(VLOOKUP(RicercaStudente,FrequenzaMarzo[],11,FALSE),"")</f>
        <v/>
      </c>
      <c r="L31" s="101" t="str">
        <f>IFERROR(VLOOKUP(RicercaStudente,FrequenzaMarzo[],12,FALSE),"")</f>
        <v/>
      </c>
      <c r="M31" s="101" t="str">
        <f>IFERROR(VLOOKUP(RicercaStudente,FrequenzaMarzo[],13,FALSE),"")</f>
        <v/>
      </c>
      <c r="N31" s="101" t="str">
        <f>IFERROR(VLOOKUP(RicercaStudente,FrequenzaMarzo[],14,FALSE),"")</f>
        <v/>
      </c>
      <c r="O31" s="101" t="str">
        <f>IFERROR(VLOOKUP(RicercaStudente,FrequenzaMarzo[],15,FALSE),"")</f>
        <v/>
      </c>
      <c r="P31" s="101" t="str">
        <f>IFERROR(VLOOKUP(RicercaStudente,FrequenzaMarzo[],16,FALSE),"")</f>
        <v/>
      </c>
      <c r="Q31" s="101" t="str">
        <f>IFERROR(VLOOKUP(RicercaStudente,FrequenzaMarzo[],17,FALSE),"")</f>
        <v/>
      </c>
      <c r="R31" s="101" t="str">
        <f>IFERROR(VLOOKUP(RicercaStudente,FrequenzaMarzo[],18,FALSE),"")</f>
        <v/>
      </c>
      <c r="S31" s="101" t="str">
        <f>IFERROR(VLOOKUP(RicercaStudente,FrequenzaMarzo[],19,FALSE),"")</f>
        <v/>
      </c>
      <c r="T31" s="101" t="str">
        <f>IFERROR(VLOOKUP(RicercaStudente,FrequenzaMarzo[],20,FALSE),"")</f>
        <v/>
      </c>
      <c r="U31" s="101" t="str">
        <f>IFERROR(VLOOKUP(RicercaStudente,FrequenzaMarzo[],21,FALSE),"")</f>
        <v/>
      </c>
      <c r="V31" s="101" t="str">
        <f>IFERROR(VLOOKUP(RicercaStudente,FrequenzaMarzo[],22,FALSE),"")</f>
        <v/>
      </c>
      <c r="W31" s="101" t="str">
        <f>IFERROR(VLOOKUP(RicercaStudente,FrequenzaMarzo[],23,FALSE),"")</f>
        <v/>
      </c>
      <c r="X31" s="101" t="str">
        <f>IFERROR(VLOOKUP(RicercaStudente,FrequenzaMarzo[],24,FALSE),"")</f>
        <v/>
      </c>
      <c r="Y31" s="101" t="str">
        <f>IFERROR(VLOOKUP(RicercaStudente,FrequenzaMarzo[],25,FALSE),"")</f>
        <v/>
      </c>
      <c r="Z31" s="101" t="str">
        <f>IFERROR(VLOOKUP(RicercaStudente,FrequenzaMarzo[],26,FALSE),"")</f>
        <v/>
      </c>
      <c r="AA31" s="101" t="str">
        <f>IFERROR(VLOOKUP(RicercaStudente,FrequenzaMarzo[],27,FALSE),"")</f>
        <v/>
      </c>
      <c r="AB31" s="101" t="str">
        <f>IFERROR(VLOOKUP(RicercaStudente,FrequenzaMarzo[],28,FALSE),"")</f>
        <v/>
      </c>
      <c r="AC31" s="101" t="str">
        <f>IFERROR(VLOOKUP(RicercaStudente,FrequenzaMarzo[],29,FALSE),"")</f>
        <v/>
      </c>
      <c r="AD31" s="101" t="str">
        <f>IFERROR(VLOOKUP(RicercaStudente,FrequenzaMarzo[],30,FALSE),"")</f>
        <v/>
      </c>
      <c r="AE31" s="101" t="str">
        <f>IFERROR(VLOOKUP(RicercaStudente,FrequenzaMarzo[],31,FALSE),"")</f>
        <v/>
      </c>
      <c r="AF31" s="101" t="str">
        <f>IFERROR(VLOOKUP(RicercaStudente,FrequenzaMarzo[],32,FALSE),"")</f>
        <v/>
      </c>
      <c r="AG31" s="101" t="str">
        <f>IFERROR(VLOOKUP(RicercaStudente,FrequenzaMarzo[],33,FALSE),"")</f>
        <v/>
      </c>
      <c r="AH31" s="137"/>
      <c r="AI31" s="137"/>
      <c r="AJ31" s="137"/>
      <c r="AK31" s="137"/>
    </row>
    <row r="32" spans="2:37" ht="14.25">
      <c r="B32" s="136" t="s">
        <v>64</v>
      </c>
      <c r="C32" s="102">
        <v>1</v>
      </c>
      <c r="D32" s="102">
        <v>2</v>
      </c>
      <c r="E32" s="102">
        <v>3</v>
      </c>
      <c r="F32" s="102">
        <v>4</v>
      </c>
      <c r="G32" s="102">
        <v>5</v>
      </c>
      <c r="H32" s="102">
        <v>6</v>
      </c>
      <c r="I32" s="102">
        <v>7</v>
      </c>
      <c r="J32" s="102">
        <v>8</v>
      </c>
      <c r="K32" s="102">
        <v>9</v>
      </c>
      <c r="L32" s="102">
        <v>10</v>
      </c>
      <c r="M32" s="102">
        <v>11</v>
      </c>
      <c r="N32" s="102">
        <v>12</v>
      </c>
      <c r="O32" s="102">
        <v>13</v>
      </c>
      <c r="P32" s="102">
        <v>14</v>
      </c>
      <c r="Q32" s="102">
        <v>15</v>
      </c>
      <c r="R32" s="102">
        <v>16</v>
      </c>
      <c r="S32" s="102">
        <v>17</v>
      </c>
      <c r="T32" s="102">
        <v>18</v>
      </c>
      <c r="U32" s="102">
        <v>19</v>
      </c>
      <c r="V32" s="102">
        <v>20</v>
      </c>
      <c r="W32" s="102">
        <v>21</v>
      </c>
      <c r="X32" s="102">
        <v>22</v>
      </c>
      <c r="Y32" s="102">
        <v>23</v>
      </c>
      <c r="Z32" s="102">
        <v>24</v>
      </c>
      <c r="AA32" s="102">
        <v>25</v>
      </c>
      <c r="AB32" s="102">
        <v>26</v>
      </c>
      <c r="AC32" s="102">
        <v>27</v>
      </c>
      <c r="AD32" s="102">
        <v>28</v>
      </c>
      <c r="AE32" s="102">
        <v>29</v>
      </c>
      <c r="AF32" s="102">
        <v>30</v>
      </c>
      <c r="AG32" s="102"/>
      <c r="AH32" s="137">
        <f>COUNTIF($D33:$AH33,Codice1)</f>
        <v>0</v>
      </c>
      <c r="AI32" s="137">
        <f>COUNTIF($D33:$AH33,Codice2)</f>
        <v>0</v>
      </c>
      <c r="AJ32" s="137">
        <f>COUNTIF($D33:$AH33,Codice3)</f>
        <v>0</v>
      </c>
      <c r="AK32" s="137">
        <f>COUNTIF($D33:$AH33,Codice4)</f>
        <v>0</v>
      </c>
    </row>
    <row r="33" spans="2:37" ht="14.25">
      <c r="B33" s="136"/>
      <c r="C33" s="101" t="str">
        <f>IFERROR(VLOOKUP(RicercaStudente,FrequenzaAprile[],3,FALSE),"")</f>
        <v/>
      </c>
      <c r="D33" s="101" t="str">
        <f>IFERROR(VLOOKUP(RicercaStudente,FrequenzaAprile[],4,FALSE),"")</f>
        <v/>
      </c>
      <c r="E33" s="101" t="str">
        <f>IFERROR(VLOOKUP(RicercaStudente,FrequenzaAprile[],5,FALSE),"")</f>
        <v/>
      </c>
      <c r="F33" s="101" t="str">
        <f>IFERROR(VLOOKUP(RicercaStudente,FrequenzaAprile[],6,FALSE),"")</f>
        <v/>
      </c>
      <c r="G33" s="101" t="str">
        <f>IFERROR(VLOOKUP(RicercaStudente,FrequenzaAprile[],7,FALSE),"")</f>
        <v/>
      </c>
      <c r="H33" s="101" t="str">
        <f>IFERROR(VLOOKUP(RicercaStudente,FrequenzaAprile[],8,FALSE),"")</f>
        <v/>
      </c>
      <c r="I33" s="101" t="str">
        <f>IFERROR(VLOOKUP(RicercaStudente,FrequenzaAprile[],9,FALSE),"")</f>
        <v/>
      </c>
      <c r="J33" s="101" t="str">
        <f>IFERROR(VLOOKUP(RicercaStudente,FrequenzaAprile[],10,FALSE),"")</f>
        <v/>
      </c>
      <c r="K33" s="101" t="str">
        <f>IFERROR(VLOOKUP(RicercaStudente,FrequenzaAprile[],11,FALSE),"")</f>
        <v/>
      </c>
      <c r="L33" s="101" t="str">
        <f>IFERROR(VLOOKUP(RicercaStudente,FrequenzaAprile[],12,FALSE),"")</f>
        <v/>
      </c>
      <c r="M33" s="101" t="str">
        <f>IFERROR(VLOOKUP(RicercaStudente,FrequenzaAprile[],13,FALSE),"")</f>
        <v/>
      </c>
      <c r="N33" s="101" t="str">
        <f>IFERROR(VLOOKUP(RicercaStudente,FrequenzaAprile[],14,FALSE),"")</f>
        <v/>
      </c>
      <c r="O33" s="101" t="str">
        <f>IFERROR(VLOOKUP(RicercaStudente,FrequenzaAprile[],15,FALSE),"")</f>
        <v/>
      </c>
      <c r="P33" s="101" t="str">
        <f>IFERROR(VLOOKUP(RicercaStudente,FrequenzaAprile[],16,FALSE),"")</f>
        <v/>
      </c>
      <c r="Q33" s="101" t="str">
        <f>IFERROR(VLOOKUP(RicercaStudente,FrequenzaAprile[],17,FALSE),"")</f>
        <v/>
      </c>
      <c r="R33" s="101" t="str">
        <f>IFERROR(VLOOKUP(RicercaStudente,FrequenzaAprile[],18,FALSE),"")</f>
        <v/>
      </c>
      <c r="S33" s="101" t="str">
        <f>IFERROR(VLOOKUP(RicercaStudente,FrequenzaAprile[],19,FALSE),"")</f>
        <v/>
      </c>
      <c r="T33" s="101" t="str">
        <f>IFERROR(VLOOKUP(RicercaStudente,FrequenzaAprile[],20,FALSE),"")</f>
        <v/>
      </c>
      <c r="U33" s="101" t="str">
        <f>IFERROR(VLOOKUP(RicercaStudente,FrequenzaAprile[],21,FALSE),"")</f>
        <v/>
      </c>
      <c r="V33" s="101" t="str">
        <f>IFERROR(VLOOKUP(RicercaStudente,FrequenzaAprile[],22,FALSE),"")</f>
        <v/>
      </c>
      <c r="W33" s="101" t="str">
        <f>IFERROR(VLOOKUP(RicercaStudente,FrequenzaAprile[],23,FALSE),"")</f>
        <v/>
      </c>
      <c r="X33" s="101" t="str">
        <f>IFERROR(VLOOKUP(RicercaStudente,FrequenzaAprile[],24,FALSE),"")</f>
        <v/>
      </c>
      <c r="Y33" s="101" t="str">
        <f>IFERROR(VLOOKUP(RicercaStudente,FrequenzaAprile[],25,FALSE),"")</f>
        <v/>
      </c>
      <c r="Z33" s="101" t="str">
        <f>IFERROR(VLOOKUP(RicercaStudente,FrequenzaAprile[],26,FALSE),"")</f>
        <v/>
      </c>
      <c r="AA33" s="101" t="str">
        <f>IFERROR(VLOOKUP(RicercaStudente,FrequenzaAprile[],27,FALSE),"")</f>
        <v/>
      </c>
      <c r="AB33" s="101" t="str">
        <f>IFERROR(VLOOKUP(RicercaStudente,FrequenzaAprile[],28,FALSE),"")</f>
        <v/>
      </c>
      <c r="AC33" s="101" t="str">
        <f>IFERROR(VLOOKUP(RicercaStudente,FrequenzaAprile[],29,FALSE),"")</f>
        <v/>
      </c>
      <c r="AD33" s="101" t="str">
        <f>IFERROR(VLOOKUP(RicercaStudente,FrequenzaAprile[],30,FALSE),"")</f>
        <v/>
      </c>
      <c r="AE33" s="101" t="str">
        <f>IFERROR(VLOOKUP(RicercaStudente,FrequenzaAprile[],31,FALSE),"")</f>
        <v/>
      </c>
      <c r="AF33" s="101" t="str">
        <f>IFERROR(VLOOKUP(RicercaStudente,FrequenzaAprile[],32,FALSE),"")</f>
        <v/>
      </c>
      <c r="AG33" s="101"/>
      <c r="AH33" s="137"/>
      <c r="AI33" s="137"/>
      <c r="AJ33" s="137"/>
      <c r="AK33" s="137"/>
    </row>
    <row r="34" spans="2:37" ht="14.25">
      <c r="B34" s="136" t="s">
        <v>65</v>
      </c>
      <c r="C34" s="102">
        <v>1</v>
      </c>
      <c r="D34" s="102">
        <v>2</v>
      </c>
      <c r="E34" s="102">
        <v>3</v>
      </c>
      <c r="F34" s="102">
        <v>4</v>
      </c>
      <c r="G34" s="102">
        <v>5</v>
      </c>
      <c r="H34" s="102">
        <v>6</v>
      </c>
      <c r="I34" s="102">
        <v>7</v>
      </c>
      <c r="J34" s="102">
        <v>8</v>
      </c>
      <c r="K34" s="102">
        <v>9</v>
      </c>
      <c r="L34" s="102">
        <v>10</v>
      </c>
      <c r="M34" s="102">
        <v>11</v>
      </c>
      <c r="N34" s="102">
        <v>12</v>
      </c>
      <c r="O34" s="102">
        <v>13</v>
      </c>
      <c r="P34" s="102">
        <v>14</v>
      </c>
      <c r="Q34" s="102">
        <v>15</v>
      </c>
      <c r="R34" s="102">
        <v>16</v>
      </c>
      <c r="S34" s="102">
        <v>17</v>
      </c>
      <c r="T34" s="102">
        <v>18</v>
      </c>
      <c r="U34" s="102">
        <v>19</v>
      </c>
      <c r="V34" s="102">
        <v>20</v>
      </c>
      <c r="W34" s="102">
        <v>21</v>
      </c>
      <c r="X34" s="102">
        <v>22</v>
      </c>
      <c r="Y34" s="102">
        <v>23</v>
      </c>
      <c r="Z34" s="102">
        <v>24</v>
      </c>
      <c r="AA34" s="102">
        <v>25</v>
      </c>
      <c r="AB34" s="102">
        <v>26</v>
      </c>
      <c r="AC34" s="102">
        <v>27</v>
      </c>
      <c r="AD34" s="102">
        <v>28</v>
      </c>
      <c r="AE34" s="102">
        <v>29</v>
      </c>
      <c r="AF34" s="102">
        <v>30</v>
      </c>
      <c r="AG34" s="102">
        <v>31</v>
      </c>
      <c r="AH34" s="137">
        <f>COUNTIF($D35:$AH35,Codice1)</f>
        <v>0</v>
      </c>
      <c r="AI34" s="137">
        <f>COUNTIF($D35:$AH35,Codice2)</f>
        <v>0</v>
      </c>
      <c r="AJ34" s="137">
        <f>COUNTIF($D35:$AH35,Codice3)</f>
        <v>0</v>
      </c>
      <c r="AK34" s="137">
        <f>COUNTIF($D35:$AH35,Codice4)</f>
        <v>0</v>
      </c>
    </row>
    <row r="35" spans="2:37" ht="14.25">
      <c r="B35" s="136"/>
      <c r="C35" s="101" t="str">
        <f>IFERROR(VLOOKUP(RicercaStudente,FrequenzaMaggio[],3,FALSE),"")</f>
        <v/>
      </c>
      <c r="D35" s="101" t="str">
        <f>IFERROR(VLOOKUP(RicercaStudente,FrequenzaMaggio[],4,FALSE),"")</f>
        <v/>
      </c>
      <c r="E35" s="101" t="str">
        <f>IFERROR(VLOOKUP(RicercaStudente,FrequenzaMaggio[],5,FALSE),"")</f>
        <v/>
      </c>
      <c r="F35" s="101" t="str">
        <f>IFERROR(VLOOKUP(RicercaStudente,FrequenzaMaggio[],6,FALSE),"")</f>
        <v/>
      </c>
      <c r="G35" s="101" t="str">
        <f>IFERROR(VLOOKUP(RicercaStudente,FrequenzaMaggio[],7,FALSE),"")</f>
        <v/>
      </c>
      <c r="H35" s="101" t="str">
        <f>IFERROR(VLOOKUP(RicercaStudente,FrequenzaMaggio[],8,FALSE),"")</f>
        <v/>
      </c>
      <c r="I35" s="101" t="str">
        <f>IFERROR(VLOOKUP(RicercaStudente,FrequenzaMaggio[],9,FALSE),"")</f>
        <v/>
      </c>
      <c r="J35" s="101" t="str">
        <f>IFERROR(VLOOKUP(RicercaStudente,FrequenzaMaggio[],10,FALSE),"")</f>
        <v/>
      </c>
      <c r="K35" s="101" t="str">
        <f>IFERROR(VLOOKUP(RicercaStudente,FrequenzaMaggio[],11,FALSE),"")</f>
        <v/>
      </c>
      <c r="L35" s="101" t="str">
        <f>IFERROR(VLOOKUP(RicercaStudente,FrequenzaMaggio[],12,FALSE),"")</f>
        <v/>
      </c>
      <c r="M35" s="101" t="str">
        <f>IFERROR(VLOOKUP(RicercaStudente,FrequenzaMaggio[],13,FALSE),"")</f>
        <v/>
      </c>
      <c r="N35" s="101" t="str">
        <f>IFERROR(VLOOKUP(RicercaStudente,FrequenzaMaggio[],14,FALSE),"")</f>
        <v/>
      </c>
      <c r="O35" s="101" t="str">
        <f>IFERROR(VLOOKUP(RicercaStudente,FrequenzaMaggio[],15,FALSE),"")</f>
        <v/>
      </c>
      <c r="P35" s="101" t="str">
        <f>IFERROR(VLOOKUP(RicercaStudente,FrequenzaMaggio[],16,FALSE),"")</f>
        <v/>
      </c>
      <c r="Q35" s="101" t="str">
        <f>IFERROR(VLOOKUP(RicercaStudente,FrequenzaMaggio[],17,FALSE),"")</f>
        <v/>
      </c>
      <c r="R35" s="101" t="str">
        <f>IFERROR(VLOOKUP(RicercaStudente,FrequenzaMaggio[],18,FALSE),"")</f>
        <v/>
      </c>
      <c r="S35" s="101" t="str">
        <f>IFERROR(VLOOKUP(RicercaStudente,FrequenzaMaggio[],19,FALSE),"")</f>
        <v/>
      </c>
      <c r="T35" s="101" t="str">
        <f>IFERROR(VLOOKUP(RicercaStudente,FrequenzaMaggio[],20,FALSE),"")</f>
        <v/>
      </c>
      <c r="U35" s="101" t="str">
        <f>IFERROR(VLOOKUP(RicercaStudente,FrequenzaMaggio[],21,FALSE),"")</f>
        <v/>
      </c>
      <c r="V35" s="101" t="str">
        <f>IFERROR(VLOOKUP(RicercaStudente,FrequenzaMaggio[],22,FALSE),"")</f>
        <v/>
      </c>
      <c r="W35" s="101" t="str">
        <f>IFERROR(VLOOKUP(RicercaStudente,FrequenzaMaggio[],23,FALSE),"")</f>
        <v/>
      </c>
      <c r="X35" s="101" t="str">
        <f>IFERROR(VLOOKUP(RicercaStudente,FrequenzaMaggio[],24,FALSE),"")</f>
        <v/>
      </c>
      <c r="Y35" s="101" t="str">
        <f>IFERROR(VLOOKUP(RicercaStudente,FrequenzaMaggio[],25,FALSE),"")</f>
        <v/>
      </c>
      <c r="Z35" s="101" t="str">
        <f>IFERROR(VLOOKUP(RicercaStudente,FrequenzaMaggio[],26,FALSE),"")</f>
        <v/>
      </c>
      <c r="AA35" s="101" t="str">
        <f>IFERROR(VLOOKUP(RicercaStudente,FrequenzaMaggio[],27,FALSE),"")</f>
        <v/>
      </c>
      <c r="AB35" s="101" t="str">
        <f>IFERROR(VLOOKUP(RicercaStudente,FrequenzaMaggio[],28,FALSE),"")</f>
        <v/>
      </c>
      <c r="AC35" s="101" t="str">
        <f>IFERROR(VLOOKUP(RicercaStudente,FrequenzaMaggio[],29,FALSE),"")</f>
        <v/>
      </c>
      <c r="AD35" s="101" t="str">
        <f>IFERROR(VLOOKUP(RicercaStudente,FrequenzaMaggio[],30,FALSE),"")</f>
        <v/>
      </c>
      <c r="AE35" s="101" t="str">
        <f>IFERROR(VLOOKUP(RicercaStudente,FrequenzaMaggio[],31,FALSE),"")</f>
        <v/>
      </c>
      <c r="AF35" s="101" t="str">
        <f>IFERROR(VLOOKUP(RicercaStudente,FrequenzaMaggio[],32,FALSE),"")</f>
        <v/>
      </c>
      <c r="AG35" s="101" t="str">
        <f>IFERROR(VLOOKUP(RicercaStudente,FrequenzaMaggio[],33,FALSE),"")</f>
        <v/>
      </c>
      <c r="AH35" s="137"/>
      <c r="AI35" s="137"/>
      <c r="AJ35" s="137"/>
      <c r="AK35" s="137"/>
    </row>
    <row r="36" spans="2:37" ht="14.25">
      <c r="B36" s="138" t="s">
        <v>66</v>
      </c>
      <c r="C36" s="102">
        <v>1</v>
      </c>
      <c r="D36" s="102">
        <v>2</v>
      </c>
      <c r="E36" s="102">
        <v>3</v>
      </c>
      <c r="F36" s="102">
        <v>4</v>
      </c>
      <c r="G36" s="102">
        <v>5</v>
      </c>
      <c r="H36" s="102">
        <v>6</v>
      </c>
      <c r="I36" s="102">
        <v>7</v>
      </c>
      <c r="J36" s="102">
        <v>8</v>
      </c>
      <c r="K36" s="102">
        <v>9</v>
      </c>
      <c r="L36" s="102">
        <v>10</v>
      </c>
      <c r="M36" s="102">
        <v>11</v>
      </c>
      <c r="N36" s="102">
        <v>12</v>
      </c>
      <c r="O36" s="102">
        <v>13</v>
      </c>
      <c r="P36" s="102">
        <v>14</v>
      </c>
      <c r="Q36" s="102">
        <v>15</v>
      </c>
      <c r="R36" s="102">
        <v>16</v>
      </c>
      <c r="S36" s="102">
        <v>17</v>
      </c>
      <c r="T36" s="102">
        <v>18</v>
      </c>
      <c r="U36" s="102">
        <v>19</v>
      </c>
      <c r="V36" s="102">
        <v>20</v>
      </c>
      <c r="W36" s="102">
        <v>21</v>
      </c>
      <c r="X36" s="102">
        <v>22</v>
      </c>
      <c r="Y36" s="102">
        <v>23</v>
      </c>
      <c r="Z36" s="102">
        <v>24</v>
      </c>
      <c r="AA36" s="102">
        <v>25</v>
      </c>
      <c r="AB36" s="102">
        <v>26</v>
      </c>
      <c r="AC36" s="102">
        <v>27</v>
      </c>
      <c r="AD36" s="102">
        <v>28</v>
      </c>
      <c r="AE36" s="102">
        <v>29</v>
      </c>
      <c r="AF36" s="102">
        <v>30</v>
      </c>
      <c r="AG36" s="102"/>
      <c r="AH36" s="133">
        <f>COUNTIF($D37:$AH37,Codice1)</f>
        <v>0</v>
      </c>
      <c r="AI36" s="133">
        <f>COUNTIF($D37:$AH37,Codice2)</f>
        <v>0</v>
      </c>
      <c r="AJ36" s="133">
        <f>COUNTIF($D37:$AH37,Codice3)</f>
        <v>0</v>
      </c>
      <c r="AK36" s="133">
        <f>COUNTIF($D37:$AH37,Codice4)</f>
        <v>0</v>
      </c>
    </row>
    <row r="37" spans="2:37" ht="14.25">
      <c r="B37" s="139"/>
      <c r="C37" s="101" t="str">
        <f>IFERROR(VLOOKUP(RicercaStudente,FrequenzaGiugno[],3,FALSE),"")</f>
        <v/>
      </c>
      <c r="D37" s="101" t="str">
        <f>IFERROR(VLOOKUP(RicercaStudente,FrequenzaGiugno[],4,FALSE),"")</f>
        <v/>
      </c>
      <c r="E37" s="101" t="str">
        <f>IFERROR(VLOOKUP(RicercaStudente,FrequenzaGiugno[],5,FALSE),"")</f>
        <v/>
      </c>
      <c r="F37" s="101" t="str">
        <f>IFERROR(VLOOKUP(RicercaStudente,FrequenzaGiugno[],6,FALSE),"")</f>
        <v/>
      </c>
      <c r="G37" s="101" t="str">
        <f>IFERROR(VLOOKUP(RicercaStudente,FrequenzaGiugno[],7,FALSE),"")</f>
        <v/>
      </c>
      <c r="H37" s="101" t="str">
        <f>IFERROR(VLOOKUP(RicercaStudente,FrequenzaGiugno[],8,FALSE),"")</f>
        <v/>
      </c>
      <c r="I37" s="101" t="str">
        <f>IFERROR(VLOOKUP(RicercaStudente,FrequenzaGiugno[],9,FALSE),"")</f>
        <v/>
      </c>
      <c r="J37" s="101" t="str">
        <f>IFERROR(VLOOKUP(RicercaStudente,FrequenzaGiugno[],10,FALSE),"")</f>
        <v/>
      </c>
      <c r="K37" s="101" t="str">
        <f>IFERROR(VLOOKUP(RicercaStudente,FrequenzaGiugno[],11,FALSE),"")</f>
        <v/>
      </c>
      <c r="L37" s="101" t="str">
        <f>IFERROR(VLOOKUP(RicercaStudente,FrequenzaGiugno[],12,FALSE),"")</f>
        <v/>
      </c>
      <c r="M37" s="101" t="str">
        <f>IFERROR(VLOOKUP(RicercaStudente,FrequenzaGiugno[],13,FALSE),"")</f>
        <v/>
      </c>
      <c r="N37" s="101" t="str">
        <f>IFERROR(VLOOKUP(RicercaStudente,FrequenzaGiugno[],14,FALSE),"")</f>
        <v/>
      </c>
      <c r="O37" s="101" t="str">
        <f>IFERROR(VLOOKUP(RicercaStudente,FrequenzaGiugno[],15,FALSE),"")</f>
        <v/>
      </c>
      <c r="P37" s="101" t="str">
        <f>IFERROR(VLOOKUP(RicercaStudente,FrequenzaGiugno[],16,FALSE),"")</f>
        <v/>
      </c>
      <c r="Q37" s="101" t="str">
        <f>IFERROR(VLOOKUP(RicercaStudente,FrequenzaGiugno[],17,FALSE),"")</f>
        <v/>
      </c>
      <c r="R37" s="101" t="str">
        <f>IFERROR(VLOOKUP(RicercaStudente,FrequenzaGiugno[],18,FALSE),"")</f>
        <v/>
      </c>
      <c r="S37" s="101" t="str">
        <f>IFERROR(VLOOKUP(RicercaStudente,FrequenzaGiugno[],19,FALSE),"")</f>
        <v/>
      </c>
      <c r="T37" s="101" t="str">
        <f>IFERROR(VLOOKUP(RicercaStudente,FrequenzaGiugno[],20,FALSE),"")</f>
        <v/>
      </c>
      <c r="U37" s="101" t="str">
        <f>IFERROR(VLOOKUP(RicercaStudente,FrequenzaGiugno[],21,FALSE),"")</f>
        <v/>
      </c>
      <c r="V37" s="101" t="str">
        <f>IFERROR(VLOOKUP(RicercaStudente,FrequenzaGiugno[],22,FALSE),"")</f>
        <v/>
      </c>
      <c r="W37" s="101" t="str">
        <f>IFERROR(VLOOKUP(RicercaStudente,FrequenzaGiugno[],23,FALSE),"")</f>
        <v/>
      </c>
      <c r="X37" s="101" t="str">
        <f>IFERROR(VLOOKUP(RicercaStudente,FrequenzaGiugno[],24,FALSE),"")</f>
        <v/>
      </c>
      <c r="Y37" s="101" t="str">
        <f>IFERROR(VLOOKUP(RicercaStudente,FrequenzaGiugno[],25,FALSE),"")</f>
        <v/>
      </c>
      <c r="Z37" s="101" t="str">
        <f>IFERROR(VLOOKUP(RicercaStudente,FrequenzaGiugno[],26,FALSE),"")</f>
        <v/>
      </c>
      <c r="AA37" s="101" t="str">
        <f>IFERROR(VLOOKUP(RicercaStudente,FrequenzaGiugno[],27,FALSE),"")</f>
        <v/>
      </c>
      <c r="AB37" s="101" t="str">
        <f>IFERROR(VLOOKUP(RicercaStudente,FrequenzaGiugno[],28,FALSE),"")</f>
        <v/>
      </c>
      <c r="AC37" s="101" t="str">
        <f>IFERROR(VLOOKUP(RicercaStudente,FrequenzaGiugno[],29,FALSE),"")</f>
        <v/>
      </c>
      <c r="AD37" s="101" t="str">
        <f>IFERROR(VLOOKUP(RicercaStudente,FrequenzaGiugno[],30,FALSE),"")</f>
        <v/>
      </c>
      <c r="AE37" s="101" t="str">
        <f>IFERROR(VLOOKUP(RicercaStudente,FrequenzaGiugno[],31,FALSE),"")</f>
        <v/>
      </c>
      <c r="AF37" s="101" t="str">
        <f>IFERROR(VLOOKUP(RicercaStudente,FrequenzaGiugno[],32,FALSE),"")</f>
        <v/>
      </c>
      <c r="AG37" s="101"/>
      <c r="AH37" s="134"/>
      <c r="AI37" s="134"/>
      <c r="AJ37" s="134"/>
      <c r="AK37" s="134"/>
    </row>
    <row r="38" spans="2:37" ht="14.25">
      <c r="B38" s="138" t="s">
        <v>67</v>
      </c>
      <c r="C38" s="102">
        <v>1</v>
      </c>
      <c r="D38" s="102">
        <v>2</v>
      </c>
      <c r="E38" s="102">
        <v>3</v>
      </c>
      <c r="F38" s="102">
        <v>4</v>
      </c>
      <c r="G38" s="102">
        <v>5</v>
      </c>
      <c r="H38" s="102">
        <v>6</v>
      </c>
      <c r="I38" s="102">
        <v>7</v>
      </c>
      <c r="J38" s="102">
        <v>8</v>
      </c>
      <c r="K38" s="102">
        <v>9</v>
      </c>
      <c r="L38" s="102">
        <v>10</v>
      </c>
      <c r="M38" s="102">
        <v>11</v>
      </c>
      <c r="N38" s="102">
        <v>12</v>
      </c>
      <c r="O38" s="102">
        <v>13</v>
      </c>
      <c r="P38" s="102">
        <v>14</v>
      </c>
      <c r="Q38" s="102">
        <v>15</v>
      </c>
      <c r="R38" s="102">
        <v>16</v>
      </c>
      <c r="S38" s="102">
        <v>17</v>
      </c>
      <c r="T38" s="102">
        <v>18</v>
      </c>
      <c r="U38" s="102">
        <v>19</v>
      </c>
      <c r="V38" s="102">
        <v>20</v>
      </c>
      <c r="W38" s="102">
        <v>21</v>
      </c>
      <c r="X38" s="102">
        <v>22</v>
      </c>
      <c r="Y38" s="102">
        <v>23</v>
      </c>
      <c r="Z38" s="102">
        <v>24</v>
      </c>
      <c r="AA38" s="102">
        <v>25</v>
      </c>
      <c r="AB38" s="102">
        <v>26</v>
      </c>
      <c r="AC38" s="102">
        <v>27</v>
      </c>
      <c r="AD38" s="102">
        <v>28</v>
      </c>
      <c r="AE38" s="102">
        <v>29</v>
      </c>
      <c r="AF38" s="102">
        <v>30</v>
      </c>
      <c r="AG38" s="102">
        <v>31</v>
      </c>
      <c r="AH38" s="133">
        <f>COUNTIF($D39:$AH39,Codice1)</f>
        <v>0</v>
      </c>
      <c r="AI38" s="133">
        <f>COUNTIF($D39:$AH39,Codice2)</f>
        <v>0</v>
      </c>
      <c r="AJ38" s="133">
        <f>COUNTIF($D39:$AH39,Codice3)</f>
        <v>0</v>
      </c>
      <c r="AK38" s="133">
        <f>COUNTIF($D39:$AH39,Codice4)</f>
        <v>0</v>
      </c>
    </row>
    <row r="39" spans="2:37" ht="14.25">
      <c r="B39" s="139"/>
      <c r="C39" s="101" t="str">
        <f>IFERROR(VLOOKUP(RicercaStudente,FrequenzaLuglio[],3,FALSE),"")</f>
        <v/>
      </c>
      <c r="D39" s="101" t="str">
        <f>IFERROR(VLOOKUP(RicercaStudente,FrequenzaLuglio[],4,FALSE),"")</f>
        <v/>
      </c>
      <c r="E39" s="101" t="str">
        <f>IFERROR(VLOOKUP(RicercaStudente,FrequenzaLuglio[],5,FALSE),"")</f>
        <v/>
      </c>
      <c r="F39" s="101" t="str">
        <f>IFERROR(VLOOKUP(RicercaStudente,FrequenzaLuglio[],6,FALSE),"")</f>
        <v/>
      </c>
      <c r="G39" s="101" t="str">
        <f>IFERROR(VLOOKUP(RicercaStudente,FrequenzaLuglio[],7,FALSE),"")</f>
        <v/>
      </c>
      <c r="H39" s="101" t="str">
        <f>IFERROR(VLOOKUP(RicercaStudente,FrequenzaLuglio[],8,FALSE),"")</f>
        <v/>
      </c>
      <c r="I39" s="101" t="str">
        <f>IFERROR(VLOOKUP(RicercaStudente,FrequenzaLuglio[],9,FALSE),"")</f>
        <v/>
      </c>
      <c r="J39" s="101" t="str">
        <f>IFERROR(VLOOKUP(RicercaStudente,FrequenzaLuglio[],10,FALSE),"")</f>
        <v/>
      </c>
      <c r="K39" s="101" t="str">
        <f>IFERROR(VLOOKUP(RicercaStudente,FrequenzaLuglio[],11,FALSE),"")</f>
        <v/>
      </c>
      <c r="L39" s="101" t="str">
        <f>IFERROR(VLOOKUP(RicercaStudente,FrequenzaLuglio[],12,FALSE),"")</f>
        <v/>
      </c>
      <c r="M39" s="101" t="str">
        <f>IFERROR(VLOOKUP(RicercaStudente,FrequenzaLuglio[],13,FALSE),"")</f>
        <v/>
      </c>
      <c r="N39" s="101" t="str">
        <f>IFERROR(VLOOKUP(RicercaStudente,FrequenzaLuglio[],14,FALSE),"")</f>
        <v/>
      </c>
      <c r="O39" s="101" t="str">
        <f>IFERROR(VLOOKUP(RicercaStudente,FrequenzaLuglio[],15,FALSE),"")</f>
        <v/>
      </c>
      <c r="P39" s="101" t="str">
        <f>IFERROR(VLOOKUP(RicercaStudente,FrequenzaLuglio[],16,FALSE),"")</f>
        <v/>
      </c>
      <c r="Q39" s="101" t="str">
        <f>IFERROR(VLOOKUP(RicercaStudente,FrequenzaLuglio[],17,FALSE),"")</f>
        <v/>
      </c>
      <c r="R39" s="101" t="str">
        <f>IFERROR(VLOOKUP(RicercaStudente,FrequenzaLuglio[],18,FALSE),"")</f>
        <v/>
      </c>
      <c r="S39" s="101" t="str">
        <f>IFERROR(VLOOKUP(RicercaStudente,FrequenzaLuglio[],19,FALSE),"")</f>
        <v/>
      </c>
      <c r="T39" s="101" t="str">
        <f>IFERROR(VLOOKUP(RicercaStudente,FrequenzaLuglio[],20,FALSE),"")</f>
        <v/>
      </c>
      <c r="U39" s="101" t="str">
        <f>IFERROR(VLOOKUP(RicercaStudente,FrequenzaLuglio[],21,FALSE),"")</f>
        <v/>
      </c>
      <c r="V39" s="101" t="str">
        <f>IFERROR(VLOOKUP(RicercaStudente,FrequenzaLuglio[],22,FALSE),"")</f>
        <v/>
      </c>
      <c r="W39" s="101" t="str">
        <f>IFERROR(VLOOKUP(RicercaStudente,FrequenzaLuglio[],23,FALSE),"")</f>
        <v/>
      </c>
      <c r="X39" s="101" t="str">
        <f>IFERROR(VLOOKUP(RicercaStudente,FrequenzaLuglio[],24,FALSE),"")</f>
        <v/>
      </c>
      <c r="Y39" s="101" t="str">
        <f>IFERROR(VLOOKUP(RicercaStudente,FrequenzaLuglio[],25,FALSE),"")</f>
        <v/>
      </c>
      <c r="Z39" s="101" t="str">
        <f>IFERROR(VLOOKUP(RicercaStudente,FrequenzaLuglio[],26,FALSE),"")</f>
        <v/>
      </c>
      <c r="AA39" s="101" t="str">
        <f>IFERROR(VLOOKUP(RicercaStudente,FrequenzaLuglio[],27,FALSE),"")</f>
        <v/>
      </c>
      <c r="AB39" s="101" t="str">
        <f>IFERROR(VLOOKUP(RicercaStudente,FrequenzaLuglio[],28,FALSE),"")</f>
        <v/>
      </c>
      <c r="AC39" s="101" t="str">
        <f>IFERROR(VLOOKUP(RicercaStudente,FrequenzaLuglio[],29,FALSE),"")</f>
        <v/>
      </c>
      <c r="AD39" s="101" t="str">
        <f>IFERROR(VLOOKUP(RicercaStudente,FrequenzaLuglio[],30,FALSE),"")</f>
        <v/>
      </c>
      <c r="AE39" s="101" t="str">
        <f>IFERROR(VLOOKUP(RicercaStudente,FrequenzaLuglio[],31,FALSE),"")</f>
        <v/>
      </c>
      <c r="AF39" s="101" t="str">
        <f>IFERROR(VLOOKUP(RicercaStudente,FrequenzaLuglio[],32,FALSE),"")</f>
        <v/>
      </c>
      <c r="AG39" s="101" t="str">
        <f>IFERROR(VLOOKUP(RicercaStudente,FrequenzaLuglio[],33,FALSE),"")</f>
        <v/>
      </c>
      <c r="AH39" s="134"/>
      <c r="AI39" s="134"/>
      <c r="AJ39" s="134"/>
      <c r="AK39" s="134"/>
    </row>
    <row r="40" spans="2:37" ht="14.25">
      <c r="B40" s="103"/>
      <c r="C40" s="103"/>
      <c r="D40" s="103"/>
      <c r="E40" s="103"/>
      <c r="F40" s="103"/>
      <c r="G40" s="103"/>
      <c r="H40" s="103"/>
      <c r="I40" s="103"/>
      <c r="J40" s="103"/>
      <c r="K40" s="103"/>
      <c r="L40" s="103"/>
      <c r="M40" s="103"/>
      <c r="N40" s="103"/>
      <c r="O40" s="103"/>
      <c r="P40" s="103"/>
      <c r="Q40" s="103"/>
      <c r="R40" s="103"/>
      <c r="S40" s="104"/>
      <c r="T40" s="104"/>
      <c r="U40" s="104"/>
      <c r="V40" s="104"/>
      <c r="W40" s="104"/>
      <c r="X40" s="104"/>
      <c r="Y40" s="104"/>
      <c r="Z40" s="104"/>
      <c r="AA40" s="104"/>
      <c r="AB40" s="104"/>
      <c r="AC40" s="104"/>
      <c r="AD40" s="104"/>
      <c r="AE40" s="135" t="s">
        <v>38</v>
      </c>
      <c r="AF40" s="135"/>
      <c r="AG40" s="135"/>
      <c r="AH40" s="105">
        <f>SUM(AH16:AH39)</f>
        <v>2</v>
      </c>
      <c r="AI40" s="105">
        <f>SUM(AI16:AI39)</f>
        <v>1</v>
      </c>
      <c r="AJ40" s="105">
        <f>SUM(AJ16:AJ39)</f>
        <v>0</v>
      </c>
      <c r="AK40" s="105">
        <f>SUM(AK16:AK39)</f>
        <v>19</v>
      </c>
    </row>
  </sheetData>
  <sheetProtection formatColumns="0" formatRows="0" selectLockedCells="1"/>
  <mergeCells count="100">
    <mergeCell ref="AE5:AK5"/>
    <mergeCell ref="B6:J6"/>
    <mergeCell ref="K6:V6"/>
    <mergeCell ref="W6:AD6"/>
    <mergeCell ref="AE6:AK6"/>
    <mergeCell ref="B5:J5"/>
    <mergeCell ref="K5:V5"/>
    <mergeCell ref="B7:J7"/>
    <mergeCell ref="K7:V7"/>
    <mergeCell ref="W7:AD7"/>
    <mergeCell ref="AE7:AK7"/>
    <mergeCell ref="B8:J8"/>
    <mergeCell ref="K8:V8"/>
    <mergeCell ref="W8:AD8"/>
    <mergeCell ref="AE8:AK8"/>
    <mergeCell ref="P3:R3"/>
    <mergeCell ref="S3:V3"/>
    <mergeCell ref="W3:AD3"/>
    <mergeCell ref="W5:AD5"/>
    <mergeCell ref="P4:R4"/>
    <mergeCell ref="S4:V4"/>
    <mergeCell ref="W4:AD4"/>
    <mergeCell ref="B4:C4"/>
    <mergeCell ref="D4:O4"/>
    <mergeCell ref="D3:O3"/>
    <mergeCell ref="B14:AG15"/>
    <mergeCell ref="AE3:AF3"/>
    <mergeCell ref="AE4:AF4"/>
    <mergeCell ref="AG3:AJ3"/>
    <mergeCell ref="AG4:AJ4"/>
    <mergeCell ref="B9:J9"/>
    <mergeCell ref="K9:V9"/>
    <mergeCell ref="W9:AD9"/>
    <mergeCell ref="AE9:AK9"/>
    <mergeCell ref="B10:J10"/>
    <mergeCell ref="K10:V10"/>
    <mergeCell ref="W10:AD10"/>
    <mergeCell ref="AE10:AK10"/>
    <mergeCell ref="AH14:AK14"/>
    <mergeCell ref="B16:B17"/>
    <mergeCell ref="AH16:AH17"/>
    <mergeCell ref="AI16:AI17"/>
    <mergeCell ref="AJ16:AJ17"/>
    <mergeCell ref="AK16:AK17"/>
    <mergeCell ref="B20:B21"/>
    <mergeCell ref="AH20:AH21"/>
    <mergeCell ref="AI20:AI21"/>
    <mergeCell ref="AJ20:AJ21"/>
    <mergeCell ref="AK20:AK21"/>
    <mergeCell ref="B18:B19"/>
    <mergeCell ref="AH18:AH19"/>
    <mergeCell ref="AI18:AI19"/>
    <mergeCell ref="AJ18:AJ19"/>
    <mergeCell ref="AK18:AK19"/>
    <mergeCell ref="B24:B25"/>
    <mergeCell ref="AH24:AH25"/>
    <mergeCell ref="AI24:AI25"/>
    <mergeCell ref="AJ24:AJ25"/>
    <mergeCell ref="AK24:AK25"/>
    <mergeCell ref="B22:B23"/>
    <mergeCell ref="AH22:AH23"/>
    <mergeCell ref="AI22:AI23"/>
    <mergeCell ref="AJ22:AJ23"/>
    <mergeCell ref="AK22:AK23"/>
    <mergeCell ref="B28:B29"/>
    <mergeCell ref="AH28:AH29"/>
    <mergeCell ref="AI28:AI29"/>
    <mergeCell ref="AJ28:AJ29"/>
    <mergeCell ref="AK28:AK29"/>
    <mergeCell ref="B26:B27"/>
    <mergeCell ref="AH26:AH27"/>
    <mergeCell ref="AI26:AI27"/>
    <mergeCell ref="AJ26:AJ27"/>
    <mergeCell ref="AK26:AK27"/>
    <mergeCell ref="B32:B33"/>
    <mergeCell ref="AH32:AH33"/>
    <mergeCell ref="AI32:AI33"/>
    <mergeCell ref="AJ32:AJ33"/>
    <mergeCell ref="AK32:AK33"/>
    <mergeCell ref="B30:B31"/>
    <mergeCell ref="AH30:AH31"/>
    <mergeCell ref="AI30:AI31"/>
    <mergeCell ref="AJ30:AJ31"/>
    <mergeCell ref="AK30:AK31"/>
    <mergeCell ref="AK38:AK39"/>
    <mergeCell ref="AE40:AG40"/>
    <mergeCell ref="B34:B35"/>
    <mergeCell ref="AH34:AH35"/>
    <mergeCell ref="AI34:AI35"/>
    <mergeCell ref="AJ34:AJ35"/>
    <mergeCell ref="B38:B39"/>
    <mergeCell ref="AH38:AH39"/>
    <mergeCell ref="AI38:AI39"/>
    <mergeCell ref="AJ38:AJ39"/>
    <mergeCell ref="AK34:AK35"/>
    <mergeCell ref="B36:B37"/>
    <mergeCell ref="AH36:AH37"/>
    <mergeCell ref="AI36:AI37"/>
    <mergeCell ref="AJ36:AJ37"/>
    <mergeCell ref="AK36:AK37"/>
  </mergeCells>
  <phoneticPr fontId="44" type="noConversion"/>
  <conditionalFormatting sqref="C17:AG17 C21:AG21 C23:AF23 C25:AG25 C27:AG27 C31:AG31 C33:AF33 C35:AG35 C37:AG37 C39:AG39 C29:AG29 C19:AG19">
    <cfRule type="expression" dxfId="5" priority="150">
      <formula>C17=Codice1</formula>
    </cfRule>
  </conditionalFormatting>
  <conditionalFormatting sqref="C17:AG17 C21:AG21 C23:AF23 C25:AG25 C27:AG27 C31:AG31 C33:AF33 C35:AG35 C37:AG37 C39:AG39 C29:AG29 C19:AG19">
    <cfRule type="expression" dxfId="4" priority="162">
      <formula>C17=Codice2</formula>
    </cfRule>
  </conditionalFormatting>
  <conditionalFormatting sqref="C17:AG17 C21:AG21 C23:AF23 C25:AG25 C27:AG27 C31:AG31 C33:AF33 C35:AG35 C37:AG37 C39:AG39 C29:AG29 C19:AG19">
    <cfRule type="expression" dxfId="3" priority="174">
      <formula>C17=Codice3</formula>
    </cfRule>
  </conditionalFormatting>
  <conditionalFormatting sqref="C17:AG17 C21:AG21 C23:AF23 C25:AG25 C27:AG27 C31:AG31 C33:AF33 C35:AG35 C37:AG37 C39:AG39 C29:AG29 C19:AG19">
    <cfRule type="expression" dxfId="2" priority="186">
      <formula>C17=Codice4</formula>
    </cfRule>
  </conditionalFormatting>
  <conditionalFormatting sqref="C17:AG17 C21:AG21 C23:AF23 C25:AG25 C27:AG27 C31:AG31 C33:AF33 C35:AG35 C37:AG37 C39:AG39 C29:AG29 C19:AG19">
    <cfRule type="expression" dxfId="1" priority="199">
      <formula>C17=Codice5</formula>
    </cfRule>
  </conditionalFormatting>
  <conditionalFormatting sqref="AE28">
    <cfRule type="expression" dxfId="0" priority="200">
      <formula>DATE(AnnoCalendario+1,2,AE28)&gt;EOMONTH(DATE(AnnoCalendario+1,1,1),1)</formula>
    </cfRule>
  </conditionalFormatting>
  <dataValidations count="2">
    <dataValidation type="list" errorStyle="warning" allowBlank="1" showInputMessage="1" showErrorMessage="1" errorTitle="Whoops!" error="In order to see attendance details for a specific student you need to select a Student ID# from the drop down list. You can click Yes to use your entry but the most of student details and attendance will be blank. " sqref="B4:C4">
      <formula1>IDStudente</formula1>
    </dataValidation>
    <dataValidation allowBlank="1" showInputMessage="1" showErrorMessage="1" errorTitle="Unknown Student Name" error="Please select student from list. You can add or remove names from this list on the Student List worksheet." sqref="D4"/>
  </dataValidations>
  <printOptions horizontalCentered="1"/>
  <pageMargins left="0.25" right="0.25" top="0.75" bottom="0.75" header="0.3" footer="0.3"/>
  <pageSetup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A1:S245"/>
  <sheetViews>
    <sheetView showGridLines="0" tabSelected="1" zoomScaleNormal="100" workbookViewId="0">
      <pane xSplit="2" ySplit="3" topLeftCell="C4" activePane="bottomRight" state="frozen"/>
      <selection pane="topRight" activeCell="C1" sqref="C1"/>
      <selection pane="bottomLeft" activeCell="A4" sqref="A4"/>
      <selection pane="bottomRight"/>
    </sheetView>
  </sheetViews>
  <sheetFormatPr defaultRowHeight="13.5"/>
  <cols>
    <col min="1" max="1" width="2.7109375" customWidth="1"/>
    <col min="2" max="2" width="16.42578125" customWidth="1"/>
    <col min="3" max="3" width="22.42578125" customWidth="1"/>
    <col min="4" max="4" width="21" customWidth="1"/>
    <col min="5" max="5" width="12.7109375" customWidth="1"/>
    <col min="6" max="6" width="22.7109375" customWidth="1"/>
    <col min="7" max="7" width="20.28515625" customWidth="1"/>
    <col min="8" max="8" width="21.42578125" customWidth="1"/>
    <col min="9" max="9" width="21.5703125" customWidth="1"/>
    <col min="10" max="10" width="22.5703125" customWidth="1"/>
    <col min="11" max="12" width="21.85546875" customWidth="1"/>
    <col min="13" max="13" width="22.5703125" customWidth="1"/>
    <col min="14" max="14" width="24.42578125" customWidth="1"/>
    <col min="15" max="15" width="22" customWidth="1"/>
    <col min="16" max="16" width="20.5703125" customWidth="1"/>
    <col min="17" max="17" width="24.42578125" customWidth="1"/>
    <col min="18" max="18" width="24.85546875" customWidth="1"/>
    <col min="19" max="19" width="29" customWidth="1"/>
  </cols>
  <sheetData>
    <row r="1" spans="1:19" ht="42" customHeight="1">
      <c r="A1" s="95" t="s">
        <v>115</v>
      </c>
      <c r="B1" s="81"/>
      <c r="C1" s="81"/>
      <c r="D1" s="81"/>
      <c r="E1" s="81"/>
      <c r="F1" s="81"/>
      <c r="G1" s="81"/>
      <c r="H1" s="81"/>
      <c r="I1" s="81"/>
      <c r="J1" s="81"/>
      <c r="K1" s="81"/>
      <c r="L1" s="81"/>
      <c r="M1" s="81"/>
      <c r="N1" s="81"/>
      <c r="O1" s="81"/>
      <c r="P1" s="81"/>
      <c r="Q1" s="81"/>
      <c r="R1" s="81"/>
      <c r="S1" s="41"/>
    </row>
    <row r="3" spans="1:19" s="15" customFormat="1" ht="36" customHeight="1">
      <c r="B3" s="82" t="s">
        <v>34</v>
      </c>
      <c r="C3" s="83" t="s">
        <v>32</v>
      </c>
      <c r="D3" s="83" t="s">
        <v>33</v>
      </c>
      <c r="E3" s="82" t="s">
        <v>39</v>
      </c>
      <c r="F3" s="82" t="s">
        <v>40</v>
      </c>
      <c r="G3" s="83" t="s">
        <v>70</v>
      </c>
      <c r="H3" s="82" t="s">
        <v>71</v>
      </c>
      <c r="I3" s="82" t="s">
        <v>112</v>
      </c>
      <c r="J3" s="82" t="s">
        <v>72</v>
      </c>
      <c r="K3" s="82" t="s">
        <v>76</v>
      </c>
      <c r="L3" s="82" t="s">
        <v>73</v>
      </c>
      <c r="M3" s="82" t="s">
        <v>74</v>
      </c>
      <c r="N3" s="82" t="s">
        <v>75</v>
      </c>
      <c r="O3" s="83" t="s">
        <v>48</v>
      </c>
      <c r="P3" s="82" t="s">
        <v>50</v>
      </c>
      <c r="Q3" s="82" t="s">
        <v>51</v>
      </c>
      <c r="R3" s="82" t="s">
        <v>52</v>
      </c>
      <c r="S3" s="83" t="s">
        <v>53</v>
      </c>
    </row>
    <row r="4" spans="1:19" ht="15.75" customHeight="1">
      <c r="B4" s="14" t="s">
        <v>88</v>
      </c>
      <c r="C4" t="s">
        <v>86</v>
      </c>
      <c r="D4" s="14" t="s">
        <v>87</v>
      </c>
      <c r="E4" s="16" t="s">
        <v>49</v>
      </c>
      <c r="F4" s="121">
        <v>35517</v>
      </c>
      <c r="G4" s="14" t="s">
        <v>89</v>
      </c>
      <c r="H4" s="14" t="s">
        <v>87</v>
      </c>
      <c r="I4" s="20">
        <v>1235550134</v>
      </c>
      <c r="J4" s="20">
        <v>2345550134</v>
      </c>
      <c r="K4" s="18" t="s">
        <v>90</v>
      </c>
      <c r="L4" s="18" t="s">
        <v>69</v>
      </c>
      <c r="M4" s="20">
        <v>1235550134</v>
      </c>
      <c r="N4" s="20">
        <v>2345550134</v>
      </c>
      <c r="O4" s="14" t="s">
        <v>97</v>
      </c>
      <c r="P4" s="14" t="s">
        <v>54</v>
      </c>
      <c r="Q4" s="20">
        <v>7895550189</v>
      </c>
      <c r="R4" s="20">
        <v>7895550134</v>
      </c>
      <c r="S4" t="str">
        <f>ElencoStudenti[[#This Row],[Nome studente]]&amp;" " &amp;ElencoStudenti[[#This Row],[Cognome studente]]</f>
        <v>Davide Alessandri</v>
      </c>
    </row>
    <row r="5" spans="1:19" ht="15.75" customHeight="1">
      <c r="B5" s="14" t="s">
        <v>91</v>
      </c>
      <c r="C5" t="s">
        <v>35</v>
      </c>
      <c r="D5" s="14">
        <v>2</v>
      </c>
      <c r="E5" s="16"/>
      <c r="F5" s="17"/>
      <c r="G5" s="14"/>
      <c r="H5" s="14"/>
      <c r="I5" s="20"/>
      <c r="J5" s="20"/>
      <c r="K5" s="18"/>
      <c r="L5" s="18"/>
      <c r="M5" s="20"/>
      <c r="N5" s="20"/>
      <c r="O5" s="14"/>
      <c r="P5" s="14"/>
      <c r="Q5" s="20"/>
      <c r="R5" s="20"/>
      <c r="S5" t="str">
        <f>ElencoStudenti[[#This Row],[Nome studente]]&amp;" " &amp;ElencoStudenti[[#This Row],[Cognome studente]]</f>
        <v>Studente 2</v>
      </c>
    </row>
    <row r="6" spans="1:19" ht="15.75" customHeight="1">
      <c r="B6" s="14" t="s">
        <v>92</v>
      </c>
      <c r="C6" t="s">
        <v>35</v>
      </c>
      <c r="D6" s="14">
        <v>3</v>
      </c>
      <c r="E6" s="16"/>
      <c r="F6" s="17"/>
      <c r="G6" s="14"/>
      <c r="H6" s="14"/>
      <c r="I6" s="20"/>
      <c r="J6" s="20"/>
      <c r="K6" s="18"/>
      <c r="L6" s="18"/>
      <c r="M6" s="20"/>
      <c r="N6" s="20"/>
      <c r="O6" s="14"/>
      <c r="P6" s="14"/>
      <c r="Q6" s="20"/>
      <c r="R6" s="20"/>
      <c r="S6" t="str">
        <f>ElencoStudenti[[#This Row],[Nome studente]]&amp;" " &amp;ElencoStudenti[[#This Row],[Cognome studente]]</f>
        <v>Studente 3</v>
      </c>
    </row>
    <row r="7" spans="1:19" ht="15.75" customHeight="1">
      <c r="B7" s="14" t="s">
        <v>93</v>
      </c>
      <c r="C7" t="s">
        <v>35</v>
      </c>
      <c r="D7" s="14">
        <v>4</v>
      </c>
      <c r="E7" s="16"/>
      <c r="F7" s="17"/>
      <c r="G7" s="14"/>
      <c r="H7" s="14"/>
      <c r="I7" s="20"/>
      <c r="J7" s="20"/>
      <c r="K7" s="18"/>
      <c r="L7" s="18"/>
      <c r="M7" s="20"/>
      <c r="N7" s="20"/>
      <c r="O7" s="14"/>
      <c r="P7" s="14"/>
      <c r="Q7" s="20"/>
      <c r="R7" s="20"/>
      <c r="S7" t="str">
        <f>ElencoStudenti[[#This Row],[Nome studente]]&amp;" " &amp;ElencoStudenti[[#This Row],[Cognome studente]]</f>
        <v>Studente 4</v>
      </c>
    </row>
    <row r="8" spans="1:19" ht="15.75" customHeight="1">
      <c r="B8" s="14" t="s">
        <v>94</v>
      </c>
      <c r="C8" t="s">
        <v>35</v>
      </c>
      <c r="D8" s="14">
        <v>5</v>
      </c>
      <c r="E8" s="16"/>
      <c r="F8" s="17"/>
      <c r="G8" s="14"/>
      <c r="H8" s="14"/>
      <c r="I8" s="20"/>
      <c r="J8" s="20"/>
      <c r="K8" s="18"/>
      <c r="L8" s="18"/>
      <c r="M8" s="20"/>
      <c r="N8" s="20"/>
      <c r="O8" s="14"/>
      <c r="P8" s="14"/>
      <c r="Q8" s="20"/>
      <c r="R8" s="20"/>
      <c r="S8" t="str">
        <f>ElencoStudenti[[#This Row],[Nome studente]]&amp;" " &amp;ElencoStudenti[[#This Row],[Cognome studente]]</f>
        <v>Studente 5</v>
      </c>
    </row>
    <row r="9" spans="1:19" ht="15.75" customHeight="1"/>
    <row r="10" spans="1:19" ht="15.75" customHeight="1"/>
    <row r="11" spans="1:19" ht="15.75" customHeight="1"/>
    <row r="12" spans="1:19" ht="15.75" customHeight="1"/>
    <row r="13" spans="1:19" ht="15.75" customHeight="1"/>
    <row r="14" spans="1:19" ht="15.75" customHeight="1"/>
    <row r="15" spans="1:19" ht="15.75" customHeight="1"/>
    <row r="16" spans="1:19"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phoneticPr fontId="44" type="noConversion"/>
  <pageMargins left="0.25" right="0.25" top="0.75" bottom="0.75" header="0.3" footer="0.3"/>
  <pageSetup scale="85" fitToWidth="0"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499984740745262"/>
    <pageSetUpPr fitToPage="1"/>
  </sheetPr>
  <dimension ref="A1:AN345"/>
  <sheetViews>
    <sheetView showGridLines="0" zoomScaleNormal="100" workbookViewId="0">
      <pane xSplit="3" ySplit="6" topLeftCell="D7" activePane="bottomRight" state="frozen"/>
      <selection pane="topRight"/>
      <selection pane="bottomLeft"/>
      <selection pane="bottomRight" activeCell="C12" sqref="C12"/>
    </sheetView>
  </sheetViews>
  <sheetFormatPr defaultRowHeight="15" customHeight="1"/>
  <cols>
    <col min="1" max="1" width="2.7109375" style="12" customWidth="1"/>
    <col min="2" max="2" width="12.42578125" style="12" bestFit="1" customWidth="1"/>
    <col min="3" max="3" width="28.85546875" style="13" customWidth="1"/>
    <col min="4" max="4" width="6.140625" style="11" bestFit="1" customWidth="1"/>
    <col min="5" max="5" width="9.28515625" style="11" bestFit="1" customWidth="1"/>
    <col min="6" max="6" width="6.140625" style="11" bestFit="1" customWidth="1"/>
    <col min="7"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40" s="1" customFormat="1" ht="42" customHeight="1">
      <c r="A1" s="111"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v>2012</v>
      </c>
    </row>
    <row r="2" spans="1:40" customFormat="1" ht="13.5"/>
    <row r="3" spans="1:40" s="30" customFormat="1" ht="12.75" customHeight="1">
      <c r="C3" s="42" t="s">
        <v>108</v>
      </c>
      <c r="D3" s="49" t="s">
        <v>128</v>
      </c>
      <c r="E3" s="65" t="s">
        <v>79</v>
      </c>
      <c r="F3" s="57"/>
      <c r="H3" s="50" t="s">
        <v>129</v>
      </c>
      <c r="I3" s="54" t="s">
        <v>80</v>
      </c>
      <c r="L3" s="51" t="s">
        <v>130</v>
      </c>
      <c r="M3" s="54" t="s">
        <v>81</v>
      </c>
      <c r="P3" s="52" t="s">
        <v>31</v>
      </c>
      <c r="Q3" s="54" t="s">
        <v>82</v>
      </c>
      <c r="T3" s="53" t="s">
        <v>131</v>
      </c>
      <c r="U3" s="54" t="s">
        <v>83</v>
      </c>
      <c r="W3"/>
      <c r="X3"/>
      <c r="Y3"/>
      <c r="AD3" s="29"/>
      <c r="AE3" s="29"/>
      <c r="AH3" s="31"/>
      <c r="AI3" s="32"/>
      <c r="AK3" s="33"/>
    </row>
    <row r="4" spans="1:40" customFormat="1" ht="16.5" customHeight="1"/>
    <row r="5" spans="1:40" s="2" customFormat="1" ht="18" customHeight="1">
      <c r="B5" s="118">
        <f>DATE(AnnoCalendario,8,1)</f>
        <v>41122</v>
      </c>
      <c r="C5" s="58"/>
      <c r="D5" s="40" t="str">
        <f>TEXT(WEEKDAY(DATE(AnnoCalendario,8,1),1),"[$-410]aaa")</f>
        <v>1900</v>
      </c>
      <c r="E5" s="40" t="str">
        <f>TEXT(WEEKDAY(DATE(AnnoCalendario,8,2),1),"[$-410]aaa")</f>
        <v>1900</v>
      </c>
      <c r="F5" s="40" t="str">
        <f>TEXT(WEEKDAY(DATE(AnnoCalendario,8,3),1),"[$-410]aaa")</f>
        <v>1900</v>
      </c>
      <c r="G5" s="40" t="str">
        <f>TEXT(WEEKDAY(DATE(AnnoCalendario,8,4),1),"[$-410]aaa")</f>
        <v>1900</v>
      </c>
      <c r="H5" s="40" t="str">
        <f>TEXT(WEEKDAY(DATE(AnnoCalendario,8,5),1),"[$-410]aaa")</f>
        <v>1900</v>
      </c>
      <c r="I5" s="40" t="str">
        <f>TEXT(WEEKDAY(DATE(AnnoCalendario,8,6),1),"[$-410]aaa")</f>
        <v>1900</v>
      </c>
      <c r="J5" s="40" t="str">
        <f>TEXT(WEEKDAY(DATE(AnnoCalendario,8,7),1),"[$-410]aaa")</f>
        <v>1900</v>
      </c>
      <c r="K5" s="40" t="str">
        <f>TEXT(WEEKDAY(DATE(AnnoCalendario,8,8),1),"[$-410]aaa")</f>
        <v>1900</v>
      </c>
      <c r="L5" s="40" t="str">
        <f>TEXT(WEEKDAY(DATE(AnnoCalendario,8,9),1),"[$-410]aaa")</f>
        <v>1900</v>
      </c>
      <c r="M5" s="40" t="str">
        <f>TEXT(WEEKDAY(DATE(AnnoCalendario,8,10),1),"[$-410]aaa")</f>
        <v>1900</v>
      </c>
      <c r="N5" s="40" t="str">
        <f>TEXT(WEEKDAY(DATE(AnnoCalendario,8,11),1),"[$-410]aaa")</f>
        <v>1900</v>
      </c>
      <c r="O5" s="40" t="str">
        <f>TEXT(WEEKDAY(DATE(AnnoCalendario,8,12),1),"[$-410]aaa")</f>
        <v>1900</v>
      </c>
      <c r="P5" s="40" t="str">
        <f>TEXT(WEEKDAY(DATE(AnnoCalendario,8,13),1),"[$-410]aaa")</f>
        <v>1900</v>
      </c>
      <c r="Q5" s="40" t="str">
        <f>TEXT(WEEKDAY(DATE(AnnoCalendario,8,14),1),"[$-410]aaa")</f>
        <v>1900</v>
      </c>
      <c r="R5" s="40" t="str">
        <f>TEXT(WEEKDAY(DATE(AnnoCalendario,8,15),1),"[$-410]aaa")</f>
        <v>1900</v>
      </c>
      <c r="S5" s="40" t="str">
        <f>TEXT(WEEKDAY(DATE(AnnoCalendario,8,16),1),"[$-410]aaa")</f>
        <v>1900</v>
      </c>
      <c r="T5" s="40" t="str">
        <f>TEXT(WEEKDAY(DATE(AnnoCalendario,8,17),1),"[$-410]aaa")</f>
        <v>1900</v>
      </c>
      <c r="U5" s="40" t="str">
        <f>TEXT(WEEKDAY(DATE(AnnoCalendario,8,18),1),"[$-410]aaa")</f>
        <v>1900</v>
      </c>
      <c r="V5" s="40" t="str">
        <f>TEXT(WEEKDAY(DATE(AnnoCalendario,8,19),1),"[$-410]aaa")</f>
        <v>1900</v>
      </c>
      <c r="W5" s="40" t="str">
        <f>TEXT(WEEKDAY(DATE(AnnoCalendario,8,20),1),"[$-410]aaa")</f>
        <v>1900</v>
      </c>
      <c r="X5" s="40" t="str">
        <f>TEXT(WEEKDAY(DATE(AnnoCalendario,8,21),1),"[$-410]aaa")</f>
        <v>1900</v>
      </c>
      <c r="Y5" s="40" t="str">
        <f>TEXT(WEEKDAY(DATE(AnnoCalendario,8,22),1),"[$-410]aaa")</f>
        <v>1900</v>
      </c>
      <c r="Z5" s="40" t="str">
        <f>TEXT(WEEKDAY(DATE(AnnoCalendario,8,23),1),"[$-410]aaa")</f>
        <v>1900</v>
      </c>
      <c r="AA5" s="40" t="str">
        <f>TEXT(WEEKDAY(DATE(AnnoCalendario,8,24),1),"[$-410]aaa")</f>
        <v>1900</v>
      </c>
      <c r="AB5" s="40" t="str">
        <f>TEXT(WEEKDAY(DATE(AnnoCalendario,8,25),1),"[$-410]aaa")</f>
        <v>1900</v>
      </c>
      <c r="AC5" s="40" t="str">
        <f>TEXT(WEEKDAY(DATE(AnnoCalendario,8,26),1),"[$-410]aaa")</f>
        <v>1900</v>
      </c>
      <c r="AD5" s="40" t="str">
        <f>TEXT(WEEKDAY(DATE(AnnoCalendario,8,27),1),"[$-410]aaa")</f>
        <v>1900</v>
      </c>
      <c r="AE5" s="40" t="str">
        <f>TEXT(WEEKDAY(DATE(AnnoCalendario,8,28),1),"[$-410]aaa")</f>
        <v>1900</v>
      </c>
      <c r="AF5" s="40" t="str">
        <f>TEXT(WEEKDAY(DATE(AnnoCalendario,8,29),1),"[$-410]aaa")</f>
        <v>1900</v>
      </c>
      <c r="AG5" s="40" t="str">
        <f>TEXT(WEEKDAY(DATE(AnnoCalendario,8,30),1),"[$-410]aaa")</f>
        <v>1900</v>
      </c>
      <c r="AH5" s="40" t="str">
        <f>TEXT(WEEKDAY(DATE(AnnoCalendario,8,31),1),"[$-410]aaa")</f>
        <v>1900</v>
      </c>
      <c r="AI5" s="129" t="s">
        <v>38</v>
      </c>
      <c r="AJ5" s="130"/>
      <c r="AK5" s="130"/>
      <c r="AL5" s="130"/>
      <c r="AM5" s="131"/>
    </row>
    <row r="6" spans="1:40" s="6" customFormat="1" ht="14.25" customHeight="1">
      <c r="B6" s="43" t="s">
        <v>34</v>
      </c>
      <c r="C6" s="44"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90" t="s">
        <v>132</v>
      </c>
      <c r="AJ6" s="66" t="s">
        <v>139</v>
      </c>
      <c r="AK6" s="67" t="s">
        <v>138</v>
      </c>
      <c r="AL6" s="68" t="s">
        <v>31</v>
      </c>
      <c r="AM6" s="48" t="s">
        <v>37</v>
      </c>
      <c r="AN6" s="5"/>
    </row>
    <row r="7" spans="1:40" s="6" customFormat="1" ht="16.5" customHeight="1">
      <c r="B7" s="45" t="s">
        <v>88</v>
      </c>
      <c r="C7" t="str">
        <f>IFERROR(VLOOKUP(FrequenzaAgosto[[#This Row],[ID studente]],ElencoStudenti[],18,FALSE),"")</f>
        <v>Davide Alessandri</v>
      </c>
      <c r="D7" s="22" t="s">
        <v>31</v>
      </c>
      <c r="E7" s="22" t="s">
        <v>31</v>
      </c>
      <c r="F7" s="22" t="s">
        <v>132</v>
      </c>
      <c r="G7" s="22" t="s">
        <v>132</v>
      </c>
      <c r="H7" s="22" t="s">
        <v>31</v>
      </c>
      <c r="I7" s="22" t="s">
        <v>136</v>
      </c>
      <c r="J7" s="22" t="s">
        <v>136</v>
      </c>
      <c r="K7" s="22" t="s">
        <v>31</v>
      </c>
      <c r="L7" s="22" t="s">
        <v>31</v>
      </c>
      <c r="M7" s="22" t="s">
        <v>138</v>
      </c>
      <c r="N7" s="22" t="s">
        <v>31</v>
      </c>
      <c r="O7" s="22" t="s">
        <v>31</v>
      </c>
      <c r="P7" s="22" t="s">
        <v>136</v>
      </c>
      <c r="Q7" s="22" t="s">
        <v>136</v>
      </c>
      <c r="R7" s="22" t="s">
        <v>31</v>
      </c>
      <c r="S7" s="22" t="s">
        <v>31</v>
      </c>
      <c r="T7" s="22" t="s">
        <v>31</v>
      </c>
      <c r="U7" s="22" t="s">
        <v>31</v>
      </c>
      <c r="V7" s="22" t="s">
        <v>31</v>
      </c>
      <c r="W7" s="22" t="s">
        <v>136</v>
      </c>
      <c r="X7" s="22" t="s">
        <v>136</v>
      </c>
      <c r="Y7" s="22" t="s">
        <v>31</v>
      </c>
      <c r="Z7" s="22" t="s">
        <v>31</v>
      </c>
      <c r="AA7" s="22" t="s">
        <v>31</v>
      </c>
      <c r="AB7" s="22" t="s">
        <v>31</v>
      </c>
      <c r="AC7" s="22" t="s">
        <v>31</v>
      </c>
      <c r="AD7" s="22" t="s">
        <v>136</v>
      </c>
      <c r="AE7" s="22" t="s">
        <v>136</v>
      </c>
      <c r="AF7" s="22" t="s">
        <v>31</v>
      </c>
      <c r="AG7" s="22" t="s">
        <v>31</v>
      </c>
      <c r="AH7" s="22" t="s">
        <v>31</v>
      </c>
      <c r="AI7" s="7">
        <f>COUNTIF(FrequenzaAgosto[[#This Row],[1]:[31]],Codice1)</f>
        <v>2</v>
      </c>
      <c r="AJ7" s="47">
        <f>COUNTIF(FrequenzaAgosto[[#This Row],[1]:[31]],Codice2)</f>
        <v>1</v>
      </c>
      <c r="AK7" s="47">
        <f>COUNTIF(FrequenzaAgosto[[#This Row],[1]:[31]],Codice3)</f>
        <v>0</v>
      </c>
      <c r="AL7" s="47">
        <f>COUNTIF(FrequenzaAgosto[[#This Row],[1]:[31]],Codice4)</f>
        <v>20</v>
      </c>
      <c r="AM7" s="7">
        <f>SUM(FrequenzaAgosto[[#This Row],[N]:[G]])</f>
        <v>1</v>
      </c>
      <c r="AN7" s="5"/>
    </row>
    <row r="8" spans="1:40" s="6" customFormat="1" ht="16.5" customHeight="1">
      <c r="B8" s="45" t="s">
        <v>91</v>
      </c>
      <c r="C8" t="str">
        <f>IFERROR(VLOOKUP(FrequenzaAgosto[[#This Row],[ID studente]],ElencoStudenti[],18,FALSE),"")</f>
        <v>Studente 2</v>
      </c>
      <c r="D8" s="22" t="s">
        <v>31</v>
      </c>
      <c r="E8" s="22" t="s">
        <v>134</v>
      </c>
      <c r="F8" s="22" t="s">
        <v>31</v>
      </c>
      <c r="G8" s="22" t="s">
        <v>31</v>
      </c>
      <c r="H8" s="22" t="s">
        <v>31</v>
      </c>
      <c r="I8" s="22" t="s">
        <v>131</v>
      </c>
      <c r="J8" s="22" t="s">
        <v>131</v>
      </c>
      <c r="K8" s="22" t="s">
        <v>31</v>
      </c>
      <c r="L8" s="22" t="s">
        <v>135</v>
      </c>
      <c r="M8" s="22" t="s">
        <v>129</v>
      </c>
      <c r="N8" s="22" t="s">
        <v>129</v>
      </c>
      <c r="O8" s="22" t="s">
        <v>129</v>
      </c>
      <c r="P8" s="22" t="s">
        <v>131</v>
      </c>
      <c r="Q8" s="22" t="s">
        <v>131</v>
      </c>
      <c r="R8" s="22" t="s">
        <v>31</v>
      </c>
      <c r="S8" s="22" t="s">
        <v>31</v>
      </c>
      <c r="T8" s="22" t="s">
        <v>31</v>
      </c>
      <c r="U8" s="22" t="s">
        <v>31</v>
      </c>
      <c r="V8" s="22" t="s">
        <v>31</v>
      </c>
      <c r="W8" s="22" t="s">
        <v>137</v>
      </c>
      <c r="X8" s="22" t="s">
        <v>137</v>
      </c>
      <c r="Y8" s="22" t="s">
        <v>31</v>
      </c>
      <c r="Z8" s="22" t="s">
        <v>31</v>
      </c>
      <c r="AA8" s="22" t="s">
        <v>31</v>
      </c>
      <c r="AB8" s="22" t="s">
        <v>133</v>
      </c>
      <c r="AC8" s="22" t="s">
        <v>128</v>
      </c>
      <c r="AD8" s="22" t="s">
        <v>131</v>
      </c>
      <c r="AE8" s="22" t="s">
        <v>131</v>
      </c>
      <c r="AF8" s="22" t="s">
        <v>31</v>
      </c>
      <c r="AG8" s="22" t="s">
        <v>31</v>
      </c>
      <c r="AH8" s="22" t="s">
        <v>31</v>
      </c>
      <c r="AI8" s="7">
        <f>COUNTIF(FrequenzaAgosto[[#This Row],[1]:[31]],Codice1)</f>
        <v>2</v>
      </c>
      <c r="AJ8" s="47">
        <f>COUNTIF(FrequenzaAgosto[[#This Row],[1]:[31]],Codice2)</f>
        <v>4</v>
      </c>
      <c r="AK8" s="47">
        <f>COUNTIF(FrequenzaAgosto[[#This Row],[1]:[31]],Codice3)</f>
        <v>1</v>
      </c>
      <c r="AL8" s="47">
        <f>COUNTIF(FrequenzaAgosto[[#This Row],[1]:[31]],Codice4)</f>
        <v>16</v>
      </c>
      <c r="AM8" s="7">
        <f>SUM(FrequenzaAgosto[[#This Row],[N]:[G]])</f>
        <v>5</v>
      </c>
      <c r="AN8" s="5"/>
    </row>
    <row r="9" spans="1:40" s="9" customFormat="1" ht="16.5" customHeight="1">
      <c r="B9" s="45" t="s">
        <v>92</v>
      </c>
      <c r="C9" t="str">
        <f>IFERROR(VLOOKUP(FrequenzaAgosto[[#This Row],[ID studente]],ElencoStudenti[],18,FALSE),"")</f>
        <v>Studente 3</v>
      </c>
      <c r="D9" s="22" t="s">
        <v>31</v>
      </c>
      <c r="E9" s="22" t="s">
        <v>135</v>
      </c>
      <c r="F9" s="22" t="s">
        <v>31</v>
      </c>
      <c r="G9" s="22" t="s">
        <v>31</v>
      </c>
      <c r="H9" s="22" t="s">
        <v>31</v>
      </c>
      <c r="I9" s="22" t="s">
        <v>137</v>
      </c>
      <c r="J9" s="22" t="s">
        <v>137</v>
      </c>
      <c r="K9" s="22" t="s">
        <v>31</v>
      </c>
      <c r="L9" s="22" t="s">
        <v>31</v>
      </c>
      <c r="M9" s="22" t="s">
        <v>134</v>
      </c>
      <c r="N9" s="22" t="s">
        <v>31</v>
      </c>
      <c r="O9" s="22" t="s">
        <v>31</v>
      </c>
      <c r="P9" s="22" t="s">
        <v>137</v>
      </c>
      <c r="Q9" s="22" t="s">
        <v>137</v>
      </c>
      <c r="R9" s="22" t="s">
        <v>31</v>
      </c>
      <c r="S9" s="22" t="s">
        <v>31</v>
      </c>
      <c r="T9" s="22" t="s">
        <v>31</v>
      </c>
      <c r="U9" s="22" t="s">
        <v>31</v>
      </c>
      <c r="V9" s="22" t="s">
        <v>31</v>
      </c>
      <c r="W9" s="22" t="s">
        <v>137</v>
      </c>
      <c r="X9" s="22" t="s">
        <v>137</v>
      </c>
      <c r="Y9" s="22" t="s">
        <v>31</v>
      </c>
      <c r="Z9" s="22" t="s">
        <v>31</v>
      </c>
      <c r="AA9" s="22" t="s">
        <v>135</v>
      </c>
      <c r="AB9" s="22" t="s">
        <v>135</v>
      </c>
      <c r="AC9" s="22" t="s">
        <v>31</v>
      </c>
      <c r="AD9" s="22" t="s">
        <v>137</v>
      </c>
      <c r="AE9" s="22" t="s">
        <v>137</v>
      </c>
      <c r="AF9" s="22" t="s">
        <v>140</v>
      </c>
      <c r="AG9" s="22" t="s">
        <v>31</v>
      </c>
      <c r="AH9" s="22" t="s">
        <v>31</v>
      </c>
      <c r="AI9" s="7">
        <f>COUNTIF(FrequenzaAgosto[[#This Row],[1]:[31]],Codice1)</f>
        <v>0</v>
      </c>
      <c r="AJ9" s="47">
        <f>COUNTIF(FrequenzaAgosto[[#This Row],[1]:[31]],Codice2)</f>
        <v>3</v>
      </c>
      <c r="AK9" s="47">
        <f>COUNTIF(FrequenzaAgosto[[#This Row],[1]:[31]],Codice3)</f>
        <v>1</v>
      </c>
      <c r="AL9" s="47">
        <f>COUNTIF(FrequenzaAgosto[[#This Row],[1]:[31]],Codice4)</f>
        <v>19</v>
      </c>
      <c r="AM9" s="7">
        <f>SUM(FrequenzaAgosto[[#This Row],[N]:[G]])</f>
        <v>4</v>
      </c>
      <c r="AN9" s="8"/>
    </row>
    <row r="10" spans="1:40" ht="16.5" customHeight="1">
      <c r="B10" s="45" t="s">
        <v>93</v>
      </c>
      <c r="C10" t="str">
        <f>IFERROR(VLOOKUP(FrequenzaAgosto[[#This Row],[ID studente]],ElencoStudenti[],18,FALSE),"")</f>
        <v>Studente 4</v>
      </c>
      <c r="D10" s="22" t="s">
        <v>31</v>
      </c>
      <c r="E10" s="22" t="s">
        <v>31</v>
      </c>
      <c r="F10" s="22" t="s">
        <v>31</v>
      </c>
      <c r="G10" s="22" t="s">
        <v>31</v>
      </c>
      <c r="H10" s="22" t="s">
        <v>31</v>
      </c>
      <c r="I10" s="22" t="s">
        <v>137</v>
      </c>
      <c r="J10" s="22" t="s">
        <v>137</v>
      </c>
      <c r="K10" s="22" t="s">
        <v>31</v>
      </c>
      <c r="L10" s="22" t="s">
        <v>31</v>
      </c>
      <c r="M10" s="22" t="s">
        <v>31</v>
      </c>
      <c r="N10" s="22" t="s">
        <v>31</v>
      </c>
      <c r="O10" s="22" t="s">
        <v>31</v>
      </c>
      <c r="P10" s="22" t="s">
        <v>137</v>
      </c>
      <c r="Q10" s="22" t="s">
        <v>137</v>
      </c>
      <c r="R10" s="22" t="s">
        <v>31</v>
      </c>
      <c r="S10" s="22" t="s">
        <v>31</v>
      </c>
      <c r="T10" s="22" t="s">
        <v>31</v>
      </c>
      <c r="U10" s="22" t="s">
        <v>31</v>
      </c>
      <c r="V10" s="22" t="s">
        <v>31</v>
      </c>
      <c r="W10" s="22" t="s">
        <v>137</v>
      </c>
      <c r="X10" s="22" t="s">
        <v>137</v>
      </c>
      <c r="Y10" s="22" t="s">
        <v>31</v>
      </c>
      <c r="Z10" s="22" t="s">
        <v>134</v>
      </c>
      <c r="AA10" s="22" t="s">
        <v>31</v>
      </c>
      <c r="AB10" s="22" t="s">
        <v>31</v>
      </c>
      <c r="AC10" s="22" t="s">
        <v>135</v>
      </c>
      <c r="AD10" s="22" t="s">
        <v>137</v>
      </c>
      <c r="AE10" s="22" t="s">
        <v>137</v>
      </c>
      <c r="AF10" s="22" t="s">
        <v>31</v>
      </c>
      <c r="AG10" s="22" t="s">
        <v>135</v>
      </c>
      <c r="AH10" s="22" t="s">
        <v>31</v>
      </c>
      <c r="AI10" s="7">
        <f>COUNTIF(FrequenzaAgosto[[#This Row],[1]:[31]],Codice1)</f>
        <v>0</v>
      </c>
      <c r="AJ10" s="47">
        <f>COUNTIF(FrequenzaAgosto[[#This Row],[1]:[31]],Codice2)</f>
        <v>2</v>
      </c>
      <c r="AK10" s="47">
        <f>COUNTIF(FrequenzaAgosto[[#This Row],[1]:[31]],Codice3)</f>
        <v>1</v>
      </c>
      <c r="AL10" s="47">
        <f>COUNTIF(FrequenzaAgosto[[#This Row],[1]:[31]],Codice4)</f>
        <v>20</v>
      </c>
      <c r="AM10" s="7">
        <f>SUM(FrequenzaAgosto[[#This Row],[N]:[G]])</f>
        <v>3</v>
      </c>
      <c r="AN10" s="11"/>
    </row>
    <row r="11" spans="1:40" ht="16.5" customHeight="1">
      <c r="B11" s="45" t="s">
        <v>94</v>
      </c>
      <c r="C11" t="str">
        <f>IFERROR(VLOOKUP(FrequenzaAgosto[[#This Row],[ID studente]],ElencoStudenti[],18,FALSE),"")</f>
        <v>Studente 5</v>
      </c>
      <c r="D11" s="22" t="s">
        <v>31</v>
      </c>
      <c r="E11" s="22" t="s">
        <v>31</v>
      </c>
      <c r="F11" s="22" t="s">
        <v>31</v>
      </c>
      <c r="G11" s="22" t="s">
        <v>31</v>
      </c>
      <c r="H11" s="22" t="s">
        <v>31</v>
      </c>
      <c r="I11" s="22" t="s">
        <v>137</v>
      </c>
      <c r="J11" s="22" t="s">
        <v>137</v>
      </c>
      <c r="K11" s="22" t="s">
        <v>31</v>
      </c>
      <c r="L11" s="22" t="s">
        <v>31</v>
      </c>
      <c r="M11" s="22" t="s">
        <v>31</v>
      </c>
      <c r="N11" s="22" t="s">
        <v>31</v>
      </c>
      <c r="O11" s="22" t="s">
        <v>31</v>
      </c>
      <c r="P11" s="22" t="s">
        <v>137</v>
      </c>
      <c r="Q11" s="22" t="s">
        <v>137</v>
      </c>
      <c r="R11" s="22" t="s">
        <v>31</v>
      </c>
      <c r="S11" s="22" t="s">
        <v>31</v>
      </c>
      <c r="T11" s="22" t="s">
        <v>31</v>
      </c>
      <c r="U11" s="22" t="s">
        <v>31</v>
      </c>
      <c r="V11" s="22" t="s">
        <v>31</v>
      </c>
      <c r="W11" s="22" t="s">
        <v>137</v>
      </c>
      <c r="X11" s="22" t="s">
        <v>137</v>
      </c>
      <c r="Y11" s="22" t="s">
        <v>31</v>
      </c>
      <c r="Z11" s="22" t="s">
        <v>31</v>
      </c>
      <c r="AA11" s="22" t="s">
        <v>31</v>
      </c>
      <c r="AB11" s="22" t="s">
        <v>31</v>
      </c>
      <c r="AC11" s="22" t="s">
        <v>31</v>
      </c>
      <c r="AD11" s="22" t="s">
        <v>137</v>
      </c>
      <c r="AE11" s="22" t="s">
        <v>137</v>
      </c>
      <c r="AF11" s="22" t="s">
        <v>31</v>
      </c>
      <c r="AG11" s="22" t="s">
        <v>31</v>
      </c>
      <c r="AH11" s="22" t="s">
        <v>31</v>
      </c>
      <c r="AI11" s="7">
        <f>COUNTIF(FrequenzaAgosto[[#This Row],[1]:[31]],Codice1)</f>
        <v>0</v>
      </c>
      <c r="AJ11" s="47">
        <f>COUNTIF(FrequenzaAgosto[[#This Row],[1]:[31]],Codice2)</f>
        <v>0</v>
      </c>
      <c r="AK11" s="47">
        <f>COUNTIF(FrequenzaAgosto[[#This Row],[1]:[31]],Codice3)</f>
        <v>0</v>
      </c>
      <c r="AL11" s="47">
        <f>COUNTIF(FrequenzaAgosto[[#This Row],[1]:[31]],Codice4)</f>
        <v>23</v>
      </c>
      <c r="AM11" s="7">
        <f>SUM(FrequenzaAgosto[[#This Row],[N]:[G]])</f>
        <v>0</v>
      </c>
      <c r="AN11" s="11"/>
    </row>
    <row r="12" spans="1:40" ht="16.5" customHeight="1">
      <c r="B12" s="113"/>
      <c r="C12" s="114" t="s">
        <v>142</v>
      </c>
      <c r="D12" s="115">
        <f>COUNTIF(FrequenzaAgosto[1],"N")+COUNTIF(FrequenzaAgosto[1],"G")</f>
        <v>0</v>
      </c>
      <c r="E12" s="115">
        <f>COUNTIF(FrequenzaAgosto[2],"N")+COUNTIF(FrequenzaAgosto[2],"G")</f>
        <v>2</v>
      </c>
      <c r="F12" s="115">
        <f>COUNTIF(FrequenzaAgosto[3],"N")+COUNTIF(FrequenzaAgosto[3],"G")</f>
        <v>0</v>
      </c>
      <c r="G12" s="115">
        <f>COUNTIF(FrequenzaAgosto[4],"N")+COUNTIF(FrequenzaAgosto[4],"G")</f>
        <v>0</v>
      </c>
      <c r="H12" s="115">
        <f>COUNTIF(FrequenzaAgosto[5],"N")+COUNTIF(FrequenzaAgosto[5],"G")</f>
        <v>0</v>
      </c>
      <c r="I12" s="115">
        <f>COUNTIF(FrequenzaAgosto[6],"N")+COUNTIF(FrequenzaAgosto[6],"G")</f>
        <v>0</v>
      </c>
      <c r="J12" s="115">
        <f>COUNTIF(FrequenzaAgosto[7],"N")+COUNTIF(FrequenzaAgosto[7],"G")</f>
        <v>0</v>
      </c>
      <c r="K12" s="115">
        <f>COUNTIF(FrequenzaAgosto[8],"N")+COUNTIF(FrequenzaAgosto[8],"G")</f>
        <v>0</v>
      </c>
      <c r="L12" s="115">
        <f>COUNTIF(FrequenzaAgosto[9],"N")+COUNTIF(FrequenzaAgosto[9],"G")</f>
        <v>1</v>
      </c>
      <c r="M12" s="115">
        <f>COUNTIF(FrequenzaAgosto[10],"N")+COUNTIF(FrequenzaAgosto[10],"G")</f>
        <v>3</v>
      </c>
      <c r="N12" s="115">
        <f>COUNTIF(FrequenzaAgosto[11],"N")+COUNTIF(FrequenzaAgosto[11],"G")</f>
        <v>1</v>
      </c>
      <c r="O12" s="115">
        <f>COUNTIF(FrequenzaAgosto[12],"N")+COUNTIF(FrequenzaAgosto[12],"G")</f>
        <v>1</v>
      </c>
      <c r="P12" s="115">
        <f>COUNTIF(FrequenzaAgosto[13],"N")+COUNTIF(FrequenzaAgosto[13],"G")</f>
        <v>0</v>
      </c>
      <c r="Q12" s="115">
        <f>COUNTIF(FrequenzaAgosto[14],"N")+COUNTIF(FrequenzaAgosto[14],"G")</f>
        <v>0</v>
      </c>
      <c r="R12" s="115">
        <f>COUNTIF(FrequenzaAgosto[15],"N")+COUNTIF(FrequenzaAgosto[15],"G")</f>
        <v>0</v>
      </c>
      <c r="S12" s="115">
        <f>COUNTIF(FrequenzaAgosto[16],"N")+COUNTIF(FrequenzaAgosto[16],"G")</f>
        <v>0</v>
      </c>
      <c r="T12" s="115">
        <f>COUNTIF(FrequenzaAgosto[17],"N")+COUNTIF(FrequenzaAgosto[17],"G")</f>
        <v>0</v>
      </c>
      <c r="U12" s="115">
        <f>COUNTIF(FrequenzaAgosto[18],"N")+COUNTIF(FrequenzaAgosto[18],"G")</f>
        <v>0</v>
      </c>
      <c r="V12" s="115">
        <f>COUNTIF(FrequenzaAgosto[19],"N")+COUNTIF(FrequenzaAgosto[19],"G")</f>
        <v>0</v>
      </c>
      <c r="W12" s="115">
        <f>COUNTIF(FrequenzaAgosto[20],"N")+COUNTIF(FrequenzaAgosto[20],"G")</f>
        <v>0</v>
      </c>
      <c r="X12" s="115">
        <f>COUNTIF(FrequenzaAgosto[21],"N")+COUNTIF(FrequenzaAgosto[21],"G")</f>
        <v>0</v>
      </c>
      <c r="Y12" s="115">
        <f>COUNTIF(FrequenzaAgosto[22],"N")+COUNTIF(FrequenzaAgosto[22],"G")</f>
        <v>0</v>
      </c>
      <c r="Z12" s="115">
        <f>COUNTIF(FrequenzaAgosto[23],"N")+COUNTIF(FrequenzaAgosto[23],"G")</f>
        <v>1</v>
      </c>
      <c r="AA12" s="115">
        <f>COUNTIF(FrequenzaAgosto[24],"N")+COUNTIF(FrequenzaAgosto[24],"G")</f>
        <v>1</v>
      </c>
      <c r="AB12" s="115">
        <f>COUNTIF(FrequenzaAgosto[25],"N")+COUNTIF(FrequenzaAgosto[25],"G")</f>
        <v>1</v>
      </c>
      <c r="AC12" s="115">
        <f>COUNTIF(FrequenzaAgosto[26],"N")+COUNTIF(FrequenzaAgosto[26],"G")</f>
        <v>1</v>
      </c>
      <c r="AD12" s="115">
        <f>COUNTIF(FrequenzaAgosto[27],"N")+COUNTIF(FrequenzaAgosto[27],"G")</f>
        <v>0</v>
      </c>
      <c r="AE12" s="115">
        <f>COUNTIF(FrequenzaAgosto[28],"N")+COUNTIF(FrequenzaAgosto[28],"G")</f>
        <v>0</v>
      </c>
      <c r="AF12" s="115">
        <f>COUNTIF(FrequenzaAgosto[29],"N")+COUNTIF(FrequenzaAgosto[29],"G")</f>
        <v>0</v>
      </c>
      <c r="AG12" s="115">
        <f>COUNTIF(FrequenzaAgosto[30],"N")+COUNTIF(FrequenzaAgosto[30],"G")</f>
        <v>1</v>
      </c>
      <c r="AH12" s="115">
        <f>COUNTIF(FrequenzaAgosto[31],"N")+COUNTIF(FrequenzaAgosto[31],"G")</f>
        <v>0</v>
      </c>
      <c r="AI12" s="115">
        <f>SUBTOTAL(109,FrequenzaAgosto[I])</f>
        <v>4</v>
      </c>
      <c r="AJ12" s="115">
        <f>SUBTOTAL(109,FrequenzaAgosto[N])</f>
        <v>10</v>
      </c>
      <c r="AK12" s="115">
        <f>SUBTOTAL(109,FrequenzaAgosto[G])</f>
        <v>3</v>
      </c>
      <c r="AL12" s="115">
        <f>SUBTOTAL(109,FrequenzaAgosto[P])</f>
        <v>98</v>
      </c>
      <c r="AM12" s="112">
        <f>SUBTOTAL(109,FrequenzaAgosto[Giorni di assenza])</f>
        <v>13</v>
      </c>
    </row>
    <row r="13" spans="1:40" ht="16.5" customHeight="1"/>
    <row r="14" spans="1:40" ht="16.5" customHeight="1"/>
    <row r="15" spans="1:40" ht="16.5" customHeight="1"/>
    <row r="16" spans="1:40"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D7:AI11">
    <cfRule type="expression" dxfId="935" priority="137" stopIfTrue="1">
      <formula>D7=Codice2</formula>
    </cfRule>
  </conditionalFormatting>
  <conditionalFormatting sqref="D7:AH11">
    <cfRule type="expression" dxfId="934" priority="146" stopIfTrue="1">
      <formula>D7=Codice5</formula>
    </cfRule>
    <cfRule type="expression" dxfId="933" priority="147" stopIfTrue="1">
      <formula>D7=Codice4</formula>
    </cfRule>
    <cfRule type="expression" dxfId="932" priority="148" stopIfTrue="1">
      <formula>D7=Codice3</formula>
    </cfRule>
    <cfRule type="expression" dxfId="931" priority="149" stopIfTrue="1">
      <formula>D7=Codice1</formula>
    </cfRule>
  </conditionalFormatting>
  <conditionalFormatting sqref="AM7:AM11">
    <cfRule type="dataBar" priority="202">
      <dataBar>
        <cfvo type="min"/>
        <cfvo type="num" val="31"/>
        <color theme="4"/>
      </dataBar>
      <extLst>
        <ext xmlns:x14="http://schemas.microsoft.com/office/spreadsheetml/2009/9/main" uri="{B025F937-C7B1-47D3-B67F-A62EFF666E3E}">
          <x14:id>{ECCE2C3C-1B01-4700-B60E-DAAAB19A9C1A}</x14:id>
        </ext>
      </extLst>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asella di selezione 1">
              <controlPr defaultSize="0" print="0" autoPict="0" altText="Calendar Year Spinner. Click the spinner to change the school calendar year or type the year in cell AM.">
                <anchor moveWithCells="1" sizeWithCells="1">
                  <from>
                    <xdr:col>39</xdr:col>
                    <xdr:colOff>38100</xdr:colOff>
                    <xdr:row>0</xdr:row>
                    <xdr:rowOff>104775</xdr:rowOff>
                  </from>
                  <to>
                    <xdr:col>39</xdr:col>
                    <xdr:colOff>209550</xdr:colOff>
                    <xdr:row>0</xdr:row>
                    <xdr:rowOff>419100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N343"/>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12" customWidth="1"/>
    <col min="2" max="2" width="12.42578125" style="12" bestFit="1" customWidth="1"/>
    <col min="3" max="3" width="28.85546875" style="13" customWidth="1"/>
    <col min="4"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40" s="1" customFormat="1" ht="42" customHeight="1">
      <c r="A1" s="35"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f>AnnoCalendario</f>
        <v>2012</v>
      </c>
    </row>
    <row r="2" spans="1:40" customFormat="1" ht="13.5"/>
    <row r="3" spans="1:40" s="30" customFormat="1" ht="12.75" customHeight="1">
      <c r="C3" s="42" t="str">
        <f>TestoLeggendaColori</f>
        <v xml:space="preserve">LEGGENDA COLORI </v>
      </c>
      <c r="D3" s="49" t="str">
        <f>Codice1</f>
        <v>I</v>
      </c>
      <c r="E3" s="65" t="str">
        <f>TestoCodice1</f>
        <v>In ritardo</v>
      </c>
      <c r="F3" s="57"/>
      <c r="H3" s="50" t="str">
        <f>Codice2</f>
        <v>G</v>
      </c>
      <c r="I3" s="54" t="str">
        <f>TestoCodice2</f>
        <v>Giustificato</v>
      </c>
      <c r="L3" s="51" t="str">
        <f>Codice3</f>
        <v>N</v>
      </c>
      <c r="M3" s="54" t="str">
        <f>TestoCodice3</f>
        <v>Non giustificato</v>
      </c>
      <c r="P3" s="52" t="str">
        <f>Codice4</f>
        <v>P</v>
      </c>
      <c r="Q3" s="54" t="str">
        <f>TestoCodice4</f>
        <v>Presente</v>
      </c>
      <c r="T3" s="53" t="str">
        <f>Codice5</f>
        <v>S</v>
      </c>
      <c r="U3" s="54" t="str">
        <f>TestoCodice5</f>
        <v>Scuola chiusa</v>
      </c>
      <c r="W3"/>
      <c r="X3"/>
      <c r="Y3"/>
      <c r="AD3" s="29"/>
      <c r="AE3" s="29"/>
      <c r="AH3" s="31"/>
      <c r="AI3" s="32"/>
      <c r="AK3" s="33"/>
    </row>
    <row r="4" spans="1:40" customFormat="1" ht="16.5" customHeight="1"/>
    <row r="5" spans="1:40" s="2" customFormat="1" ht="18" customHeight="1">
      <c r="B5" s="118">
        <f>DATE(AnnoCalendario,9,1)</f>
        <v>41153</v>
      </c>
      <c r="C5" s="58"/>
      <c r="D5" s="40" t="str">
        <f>TEXT(WEEKDAY(DATE(AnnoCalendario,9,1),1),"[$-410]aaa")</f>
        <v>1900</v>
      </c>
      <c r="E5" s="40" t="str">
        <f>TEXT(WEEKDAY(DATE(AnnoCalendario,9,2),1),"[$-410]aaa")</f>
        <v>1900</v>
      </c>
      <c r="F5" s="40" t="str">
        <f>TEXT(WEEKDAY(DATE(AnnoCalendario,9,3),1),"[$-410]aaa")</f>
        <v>1900</v>
      </c>
      <c r="G5" s="40" t="str">
        <f>TEXT(WEEKDAY(DATE(AnnoCalendario,9,4),1),"[$-410]aaa")</f>
        <v>1900</v>
      </c>
      <c r="H5" s="40" t="str">
        <f>TEXT(WEEKDAY(DATE(AnnoCalendario,9,5),1),"[$-410]aaa")</f>
        <v>1900</v>
      </c>
      <c r="I5" s="40" t="str">
        <f>TEXT(WEEKDAY(DATE(AnnoCalendario,9,6),1),"[$-410]aaa")</f>
        <v>1900</v>
      </c>
      <c r="J5" s="40" t="str">
        <f>TEXT(WEEKDAY(DATE(AnnoCalendario,9,7),1),"[$-410]aaa")</f>
        <v>1900</v>
      </c>
      <c r="K5" s="40" t="str">
        <f>TEXT(WEEKDAY(DATE(AnnoCalendario,9,8),1),"[$-410]aaa")</f>
        <v>1900</v>
      </c>
      <c r="L5" s="40" t="str">
        <f>TEXT(WEEKDAY(DATE(AnnoCalendario,9,9),1),"[$-410]aaa")</f>
        <v>1900</v>
      </c>
      <c r="M5" s="40" t="str">
        <f>TEXT(WEEKDAY(DATE(AnnoCalendario,9,10),1),"[$-410]aaa")</f>
        <v>1900</v>
      </c>
      <c r="N5" s="40" t="str">
        <f>TEXT(WEEKDAY(DATE(AnnoCalendario,9,11),1),"[$-410]aaa")</f>
        <v>1900</v>
      </c>
      <c r="O5" s="40" t="str">
        <f>TEXT(WEEKDAY(DATE(AnnoCalendario,9,12),1),"[$-410]aaa")</f>
        <v>1900</v>
      </c>
      <c r="P5" s="40" t="str">
        <f>TEXT(WEEKDAY(DATE(AnnoCalendario,9,13),1),"[$-410]aaa")</f>
        <v>1900</v>
      </c>
      <c r="Q5" s="40" t="str">
        <f>TEXT(WEEKDAY(DATE(AnnoCalendario,9,14),1),"[$-410]aaa")</f>
        <v>1900</v>
      </c>
      <c r="R5" s="40" t="str">
        <f>TEXT(WEEKDAY(DATE(AnnoCalendario,9,15),1),"[$-410]aaa")</f>
        <v>1900</v>
      </c>
      <c r="S5" s="40" t="str">
        <f>TEXT(WEEKDAY(DATE(AnnoCalendario,9,16),1),"[$-410]aaa")</f>
        <v>1900</v>
      </c>
      <c r="T5" s="40" t="str">
        <f>TEXT(WEEKDAY(DATE(AnnoCalendario,9,17),1),"[$-410]aaa")</f>
        <v>1900</v>
      </c>
      <c r="U5" s="40" t="str">
        <f>TEXT(WEEKDAY(DATE(AnnoCalendario,9,18),1),"[$-410]aaa")</f>
        <v>1900</v>
      </c>
      <c r="V5" s="40" t="str">
        <f>TEXT(WEEKDAY(DATE(AnnoCalendario,9,19),1),"[$-410]aaa")</f>
        <v>1900</v>
      </c>
      <c r="W5" s="40" t="str">
        <f>TEXT(WEEKDAY(DATE(AnnoCalendario,9,20),1),"[$-410]aaa")</f>
        <v>1900</v>
      </c>
      <c r="X5" s="40" t="str">
        <f>TEXT(WEEKDAY(DATE(AnnoCalendario,9,21),1),"[$-410]aaa")</f>
        <v>1900</v>
      </c>
      <c r="Y5" s="40" t="str">
        <f>TEXT(WEEKDAY(DATE(AnnoCalendario,9,22),1),"[$-410]aaa")</f>
        <v>1900</v>
      </c>
      <c r="Z5" s="40" t="str">
        <f>TEXT(WEEKDAY(DATE(AnnoCalendario,9,23),1),"[$-410]aaa")</f>
        <v>1900</v>
      </c>
      <c r="AA5" s="40" t="str">
        <f>TEXT(WEEKDAY(DATE(AnnoCalendario,9,24),1),"[$-410]aaa")</f>
        <v>1900</v>
      </c>
      <c r="AB5" s="40" t="str">
        <f>TEXT(WEEKDAY(DATE(AnnoCalendario,9,25),1),"[$-410]aaa")</f>
        <v>1900</v>
      </c>
      <c r="AC5" s="40" t="str">
        <f>TEXT(WEEKDAY(DATE(AnnoCalendario,9,26),1),"[$-410]aaa")</f>
        <v>1900</v>
      </c>
      <c r="AD5" s="40" t="str">
        <f>TEXT(WEEKDAY(DATE(AnnoCalendario,9,27),1),"[$-410]aaa")</f>
        <v>1900</v>
      </c>
      <c r="AE5" s="40" t="str">
        <f>TEXT(WEEKDAY(DATE(AnnoCalendario,9,28),1),"[$-410]aaa")</f>
        <v>1900</v>
      </c>
      <c r="AF5" s="40" t="str">
        <f>TEXT(WEEKDAY(DATE(AnnoCalendario,9,29),1),"[$-410]aaa")</f>
        <v>1900</v>
      </c>
      <c r="AG5" s="40" t="str">
        <f>TEXT(WEEKDAY(DATE(AnnoCalendario,9,30),1),"[$-410]aaa")</f>
        <v>1900</v>
      </c>
      <c r="AH5" s="40"/>
      <c r="AI5" s="129" t="s">
        <v>38</v>
      </c>
      <c r="AJ5" s="130"/>
      <c r="AK5" s="130"/>
      <c r="AL5" s="130"/>
      <c r="AM5" s="131"/>
    </row>
    <row r="6" spans="1:40" s="6" customFormat="1" ht="14.25" customHeight="1">
      <c r="B6" s="43" t="s">
        <v>34</v>
      </c>
      <c r="C6" s="44"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113</v>
      </c>
      <c r="AI6" s="90" t="s">
        <v>132</v>
      </c>
      <c r="AJ6" s="66" t="s">
        <v>139</v>
      </c>
      <c r="AK6" s="67" t="s">
        <v>138</v>
      </c>
      <c r="AL6" s="68" t="s">
        <v>31</v>
      </c>
      <c r="AM6" s="48" t="s">
        <v>37</v>
      </c>
      <c r="AN6" s="5"/>
    </row>
    <row r="7" spans="1:40" s="6" customFormat="1" ht="16.5" customHeight="1">
      <c r="B7" s="45"/>
      <c r="C7" s="46" t="str">
        <f>IFERROR(VLOOKUP(FrequenzaSettembre[[#This Row],[ID studente]],ElencoStudenti[],18,FALSE),"")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22"/>
      <c r="AH7" s="22"/>
      <c r="AI7" s="7">
        <f>COUNTIF(FrequenzaSettembre[[#This Row],[1]:[ ]],Codice1)</f>
        <v>0</v>
      </c>
      <c r="AJ7" s="47">
        <f>COUNTIF(FrequenzaSettembre[[#This Row],[1]:[ ]],Codice2)</f>
        <v>0</v>
      </c>
      <c r="AK7" s="47">
        <f>COUNTIF(FrequenzaSettembre[[#This Row],[1]:[ ]],Codice3)</f>
        <v>0</v>
      </c>
      <c r="AL7" s="47">
        <f>COUNTIF(FrequenzaSettembre[[#This Row],[1]:[ ]],Codice4)</f>
        <v>0</v>
      </c>
      <c r="AM7" s="7">
        <f>SUM(FrequenzaSettembre[[#This Row],[N]:[G]])</f>
        <v>0</v>
      </c>
      <c r="AN7" s="5"/>
    </row>
    <row r="8" spans="1:40" s="6" customFormat="1" ht="16.5" customHeight="1">
      <c r="B8" s="45"/>
      <c r="C8" s="46" t="str">
        <f>IFERROR(VLOOKUP(FrequenzaSettembre[[#This Row],[ID studente]],ElencoStudenti[],18,FALSE),"")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22"/>
      <c r="AH8" s="22"/>
      <c r="AI8" s="7">
        <f>COUNTIF(FrequenzaSettembre[[#This Row],[1]:[ ]],Codice1)</f>
        <v>0</v>
      </c>
      <c r="AJ8" s="47">
        <f>COUNTIF(FrequenzaSettembre[[#This Row],[1]:[ ]],Codice2)</f>
        <v>0</v>
      </c>
      <c r="AK8" s="47">
        <f>COUNTIF(FrequenzaSettembre[[#This Row],[1]:[ ]],Codice3)</f>
        <v>0</v>
      </c>
      <c r="AL8" s="47">
        <f>COUNTIF(FrequenzaSettembre[[#This Row],[1]:[ ]],Codice4)</f>
        <v>0</v>
      </c>
      <c r="AM8" s="7">
        <f>SUM(FrequenzaSettembre[[#This Row],[N]:[G]])</f>
        <v>0</v>
      </c>
      <c r="AN8" s="5"/>
    </row>
    <row r="9" spans="1:40" s="9" customFormat="1" ht="16.5" customHeight="1">
      <c r="B9" s="45"/>
      <c r="C9" s="46" t="str">
        <f>IFERROR(VLOOKUP(FrequenzaSettembre[[#This Row],[ID studente]],ElencoStudenti[],18,FALSE),"")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22"/>
      <c r="AH9" s="22"/>
      <c r="AI9" s="7">
        <f>COUNTIF(FrequenzaSettembre[[#This Row],[1]:[ ]],Codice1)</f>
        <v>0</v>
      </c>
      <c r="AJ9" s="47">
        <f>COUNTIF(FrequenzaSettembre[[#This Row],[1]:[ ]],Codice2)</f>
        <v>0</v>
      </c>
      <c r="AK9" s="47">
        <f>COUNTIF(FrequenzaSettembre[[#This Row],[1]:[ ]],Codice3)</f>
        <v>0</v>
      </c>
      <c r="AL9" s="47">
        <f>COUNTIF(FrequenzaSettembre[[#This Row],[1]:[ ]],Codice4)</f>
        <v>0</v>
      </c>
      <c r="AM9" s="7">
        <f>SUM(FrequenzaSettembre[[#This Row],[N]:[G]])</f>
        <v>0</v>
      </c>
      <c r="AN9" s="8"/>
    </row>
    <row r="10" spans="1:40" ht="16.5" customHeight="1">
      <c r="B10" s="45"/>
      <c r="C10" s="46" t="str">
        <f>IFERROR(VLOOKUP(FrequenzaSettembre[[#This Row],[ID studente]],ElencoStudenti[],18,FALSE),"")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22"/>
      <c r="AH10" s="22"/>
      <c r="AI10" s="7">
        <f>COUNTIF(FrequenzaSettembre[[#This Row],[1]:[ ]],Codice1)</f>
        <v>0</v>
      </c>
      <c r="AJ10" s="47">
        <f>COUNTIF(FrequenzaSettembre[[#This Row],[1]:[ ]],Codice2)</f>
        <v>0</v>
      </c>
      <c r="AK10" s="47">
        <f>COUNTIF(FrequenzaSettembre[[#This Row],[1]:[ ]],Codice3)</f>
        <v>0</v>
      </c>
      <c r="AL10" s="47">
        <f>COUNTIF(FrequenzaSettembre[[#This Row],[1]:[ ]],Codice4)</f>
        <v>0</v>
      </c>
      <c r="AM10" s="7">
        <f>SUM(FrequenzaSettembre[[#This Row],[N]:[G]])</f>
        <v>0</v>
      </c>
      <c r="AN10" s="11"/>
    </row>
    <row r="11" spans="1:40" ht="16.5" customHeight="1">
      <c r="B11" s="45"/>
      <c r="C11" s="46" t="str">
        <f>IFERROR(VLOOKUP(FrequenzaSettembre[[#This Row],[ID studente]],ElencoStudenti[],18,FALSE),"")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22"/>
      <c r="AH11" s="22"/>
      <c r="AI11" s="7">
        <f>COUNTIF(FrequenzaSettembre[[#This Row],[1]:[ ]],Codice1)</f>
        <v>0</v>
      </c>
      <c r="AJ11" s="47">
        <f>COUNTIF(FrequenzaSettembre[[#This Row],[1]:[ ]],Codice2)</f>
        <v>0</v>
      </c>
      <c r="AK11" s="47">
        <f>COUNTIF(FrequenzaSettembre[[#This Row],[1]:[ ]],Codice3)</f>
        <v>0</v>
      </c>
      <c r="AL11" s="47">
        <f>COUNTIF(FrequenzaSettembre[[#This Row],[1]:[ ]],Codice4)</f>
        <v>0</v>
      </c>
      <c r="AM11" s="7">
        <f>SUM(FrequenzaSettembre[[#This Row],[N]:[G]])</f>
        <v>0</v>
      </c>
      <c r="AN11" s="11"/>
    </row>
    <row r="12" spans="1:40" ht="16.5" customHeight="1">
      <c r="B12" s="122"/>
      <c r="C12" s="123" t="s">
        <v>142</v>
      </c>
      <c r="D12" s="124">
        <f>COUNTIF(FrequenzaSettembre[1],"N")+COUNTIF(FrequenzaSettembre[1],"G")</f>
        <v>0</v>
      </c>
      <c r="E12" s="124">
        <f>COUNTIF(FrequenzaSettembre[2],"N")+COUNTIF(FrequenzaSettembre[2],"G")</f>
        <v>0</v>
      </c>
      <c r="F12" s="124">
        <f>COUNTIF(FrequenzaSettembre[3],"N")+COUNTIF(FrequenzaSettembre[3],"G")</f>
        <v>0</v>
      </c>
      <c r="G12" s="124">
        <f>COUNTIF(FrequenzaSettembre[4],"N")+COUNTIF(FrequenzaSettembre[4],"G")</f>
        <v>0</v>
      </c>
      <c r="H12" s="124">
        <f>COUNTIF(FrequenzaSettembre[5],"N")+COUNTIF(FrequenzaSettembre[5],"G")</f>
        <v>0</v>
      </c>
      <c r="I12" s="124">
        <f>COUNTIF(FrequenzaSettembre[6],"N")+COUNTIF(FrequenzaSettembre[6],"G")</f>
        <v>0</v>
      </c>
      <c r="J12" s="124">
        <f>COUNTIF(FrequenzaSettembre[7],"N")+COUNTIF(FrequenzaSettembre[7],"G")</f>
        <v>0</v>
      </c>
      <c r="K12" s="124">
        <f>COUNTIF(FrequenzaSettembre[8],"N")+COUNTIF(FrequenzaSettembre[8],"G")</f>
        <v>0</v>
      </c>
      <c r="L12" s="124">
        <f>COUNTIF(FrequenzaSettembre[9],"N")+COUNTIF(FrequenzaSettembre[9],"G")</f>
        <v>0</v>
      </c>
      <c r="M12" s="124">
        <f>COUNTIF(FrequenzaSettembre[10],"N")+COUNTIF(FrequenzaSettembre[10],"G")</f>
        <v>0</v>
      </c>
      <c r="N12" s="124">
        <f>COUNTIF(FrequenzaSettembre[11],"N")+COUNTIF(FrequenzaSettembre[11],"G")</f>
        <v>0</v>
      </c>
      <c r="O12" s="124">
        <f>COUNTIF(FrequenzaSettembre[12],"N")+COUNTIF(FrequenzaSettembre[12],"G")</f>
        <v>0</v>
      </c>
      <c r="P12" s="124">
        <f>COUNTIF(FrequenzaSettembre[13],"N")+COUNTIF(FrequenzaSettembre[13],"G")</f>
        <v>0</v>
      </c>
      <c r="Q12" s="124">
        <f>COUNTIF(FrequenzaSettembre[14],"N")+COUNTIF(FrequenzaSettembre[14],"G")</f>
        <v>0</v>
      </c>
      <c r="R12" s="124">
        <f>COUNTIF(FrequenzaSettembre[15],"N")+COUNTIF(FrequenzaSettembre[15],"G")</f>
        <v>0</v>
      </c>
      <c r="S12" s="124">
        <f>COUNTIF(FrequenzaSettembre[16],"N")+COUNTIF(FrequenzaSettembre[16],"G")</f>
        <v>0</v>
      </c>
      <c r="T12" s="124">
        <f>COUNTIF(FrequenzaSettembre[17],"N")+COUNTIF(FrequenzaSettembre[17],"G")</f>
        <v>0</v>
      </c>
      <c r="U12" s="124">
        <f>COUNTIF(FrequenzaSettembre[18],"N")+COUNTIF(FrequenzaSettembre[18],"G")</f>
        <v>0</v>
      </c>
      <c r="V12" s="124">
        <f>COUNTIF(FrequenzaSettembre[19],"N")+COUNTIF(FrequenzaSettembre[19],"G")</f>
        <v>0</v>
      </c>
      <c r="W12" s="124">
        <f>COUNTIF(FrequenzaSettembre[20],"N")+COUNTIF(FrequenzaSettembre[20],"G")</f>
        <v>0</v>
      </c>
      <c r="X12" s="124">
        <f>COUNTIF(FrequenzaSettembre[21],"N")+COUNTIF(FrequenzaSettembre[21],"G")</f>
        <v>0</v>
      </c>
      <c r="Y12" s="124">
        <f>COUNTIF(FrequenzaSettembre[22],"N")+COUNTIF(FrequenzaSettembre[22],"G")</f>
        <v>0</v>
      </c>
      <c r="Z12" s="124">
        <f>COUNTIF(FrequenzaSettembre[23],"N")+COUNTIF(FrequenzaSettembre[23],"G")</f>
        <v>0</v>
      </c>
      <c r="AA12" s="124">
        <f>COUNTIF(FrequenzaSettembre[24],"N")+COUNTIF(FrequenzaSettembre[24],"G")</f>
        <v>0</v>
      </c>
      <c r="AB12" s="124">
        <f>COUNTIF(FrequenzaSettembre[25],"N")+COUNTIF(FrequenzaSettembre[25],"G")</f>
        <v>0</v>
      </c>
      <c r="AC12" s="124">
        <f>COUNTIF(FrequenzaSettembre[26],"N")+COUNTIF(FrequenzaSettembre[26],"G")</f>
        <v>0</v>
      </c>
      <c r="AD12" s="124">
        <f>COUNTIF(FrequenzaSettembre[27],"N")+COUNTIF(FrequenzaSettembre[27],"G")</f>
        <v>0</v>
      </c>
      <c r="AE12" s="124">
        <f>COUNTIF(FrequenzaSettembre[28],"N")+COUNTIF(FrequenzaSettembre[28],"G")</f>
        <v>0</v>
      </c>
      <c r="AF12" s="124">
        <f>COUNTIF(FrequenzaSettembre[29],"N")+COUNTIF(FrequenzaSettembre[29],"G")</f>
        <v>0</v>
      </c>
      <c r="AG12" s="124">
        <f>COUNTIF(FrequenzaSettembre[30],"N")+COUNTIF(FrequenzaSettembre[30],"G")</f>
        <v>0</v>
      </c>
      <c r="AH12" s="124">
        <f>COUNTIF(FrequenzaSettembre[[ ]],"N")+COUNTIF(FrequenzaSettembre[[ ]],"G")</f>
        <v>0</v>
      </c>
      <c r="AI12" s="124">
        <f>SUBTOTAL(109,FrequenzaSettembre[I])</f>
        <v>0</v>
      </c>
      <c r="AJ12" s="124">
        <f>SUBTOTAL(109,FrequenzaSettembre[N])</f>
        <v>0</v>
      </c>
      <c r="AK12" s="124">
        <f>SUBTOTAL(109,FrequenzaSettembre[G])</f>
        <v>0</v>
      </c>
      <c r="AL12" s="124">
        <f>SUBTOTAL(109,FrequenzaSettembre[P])</f>
        <v>0</v>
      </c>
      <c r="AM12" s="124">
        <f>SUBTOTAL(109,FrequenzaSettembre[Giorni di assenza])</f>
        <v>0</v>
      </c>
    </row>
    <row r="13" spans="1:40" ht="16.5" customHeight="1"/>
    <row r="14" spans="1:40" ht="16.5" customHeight="1"/>
    <row r="15" spans="1:40" ht="16.5" customHeight="1"/>
    <row r="16" spans="1:40"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AM7:AM11">
    <cfRule type="dataBar" priority="6">
      <dataBar>
        <cfvo type="min"/>
        <cfvo type="num" val="31"/>
        <color theme="4"/>
      </dataBar>
      <extLst>
        <ext xmlns:x14="http://schemas.microsoft.com/office/spreadsheetml/2009/9/main" uri="{B025F937-C7B1-47D3-B67F-A62EFF666E3E}">
          <x14:id>{FCDE13DD-578E-4A81-A4F7-3A892C41EF0D}</x14:id>
        </ext>
      </extLst>
    </cfRule>
  </conditionalFormatting>
  <conditionalFormatting sqref="AG7:AI11">
    <cfRule type="expression" dxfId="887" priority="7" stopIfTrue="1">
      <formula>AG7=Codice2</formula>
    </cfRule>
  </conditionalFormatting>
  <conditionalFormatting sqref="AG7:AH11">
    <cfRule type="expression" dxfId="886" priority="8" stopIfTrue="1">
      <formula>AG7=Codice5</formula>
    </cfRule>
    <cfRule type="expression" dxfId="885" priority="9" stopIfTrue="1">
      <formula>AG7=Codice4</formula>
    </cfRule>
    <cfRule type="expression" dxfId="884" priority="10" stopIfTrue="1">
      <formula>AG7=Codice3</formula>
    </cfRule>
    <cfRule type="expression" dxfId="883" priority="11" stopIfTrue="1">
      <formula>AG7=Codice1</formula>
    </cfRule>
  </conditionalFormatting>
  <conditionalFormatting sqref="D7:AF11">
    <cfRule type="expression" dxfId="882" priority="1" stopIfTrue="1">
      <formula>D7=Codice2</formula>
    </cfRule>
  </conditionalFormatting>
  <conditionalFormatting sqref="D7:AF11">
    <cfRule type="expression" dxfId="881" priority="2" stopIfTrue="1">
      <formula>D7=Codice5</formula>
    </cfRule>
    <cfRule type="expression" dxfId="880" priority="3" stopIfTrue="1">
      <formula>D7=Codice4</formula>
    </cfRule>
    <cfRule type="expression" dxfId="879" priority="4" stopIfTrue="1">
      <formula>D7=Codice3</formula>
    </cfRule>
    <cfRule type="expression" dxfId="878" priority="5" stopIfTrue="1">
      <formula>D7=Codice1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CDE13DD-578E-4A81-A4F7-3A892C41EF0D}">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N345"/>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12" customWidth="1"/>
    <col min="2" max="2" width="12.42578125" style="12" bestFit="1" customWidth="1"/>
    <col min="3" max="3" width="28.85546875" style="13" customWidth="1"/>
    <col min="4"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40" s="1" customFormat="1" ht="42" customHeight="1">
      <c r="A1" s="35"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f>AnnoCalendario</f>
        <v>2012</v>
      </c>
    </row>
    <row r="2" spans="1:40" customFormat="1" ht="13.5"/>
    <row r="3" spans="1:40" s="30" customFormat="1" ht="12.75" customHeight="1">
      <c r="C3" s="42" t="str">
        <f>TestoLeggendaColori</f>
        <v xml:space="preserve">LEGGENDA COLORI </v>
      </c>
      <c r="D3" s="49" t="str">
        <f>Codice1</f>
        <v>I</v>
      </c>
      <c r="E3" s="65" t="str">
        <f>TestoCodice1</f>
        <v>In ritardo</v>
      </c>
      <c r="F3" s="57"/>
      <c r="H3" s="50" t="str">
        <f>Codice2</f>
        <v>G</v>
      </c>
      <c r="I3" s="54" t="str">
        <f>TestoCodice2</f>
        <v>Giustificato</v>
      </c>
      <c r="L3" s="51" t="str">
        <f>Codice3</f>
        <v>N</v>
      </c>
      <c r="M3" s="54" t="str">
        <f>TestoCodice3</f>
        <v>Non giustificato</v>
      </c>
      <c r="P3" s="52" t="str">
        <f>Codice4</f>
        <v>P</v>
      </c>
      <c r="Q3" s="54" t="str">
        <f>TestoCodice4</f>
        <v>Presente</v>
      </c>
      <c r="T3" s="53" t="str">
        <f>Codice5</f>
        <v>S</v>
      </c>
      <c r="U3" s="54" t="str">
        <f>TestoCodice5</f>
        <v>Scuola chiusa</v>
      </c>
      <c r="W3"/>
      <c r="X3"/>
      <c r="Y3"/>
      <c r="AD3" s="29"/>
      <c r="AE3" s="29"/>
      <c r="AH3" s="31"/>
      <c r="AI3" s="32"/>
      <c r="AK3" s="33"/>
    </row>
    <row r="4" spans="1:40" customFormat="1" ht="16.5" customHeight="1"/>
    <row r="5" spans="1:40" s="2" customFormat="1" ht="18" customHeight="1">
      <c r="B5" s="118">
        <f>DATE(AnnoCalendario,10,1)</f>
        <v>41183</v>
      </c>
      <c r="C5" s="58"/>
      <c r="D5" s="40" t="str">
        <f>TEXT(WEEKDAY(DATE(AnnoCalendario,10,1),1),"[$-410]aaa")</f>
        <v>1900</v>
      </c>
      <c r="E5" s="40" t="str">
        <f>TEXT(WEEKDAY(DATE(AnnoCalendario,10,2),1),"[$-410]aaa")</f>
        <v>1900</v>
      </c>
      <c r="F5" s="40" t="str">
        <f>TEXT(WEEKDAY(DATE(AnnoCalendario,10,3),1),"[$-410]aaa")</f>
        <v>1900</v>
      </c>
      <c r="G5" s="40" t="str">
        <f>TEXT(WEEKDAY(DATE(AnnoCalendario,10,4),1),"[$-410]aaa")</f>
        <v>1900</v>
      </c>
      <c r="H5" s="40" t="str">
        <f>TEXT(WEEKDAY(DATE(AnnoCalendario,10,5),1),"[$-410]aaa")</f>
        <v>1900</v>
      </c>
      <c r="I5" s="40" t="str">
        <f>TEXT(WEEKDAY(DATE(AnnoCalendario,10,6),1),"[$-410]aaa")</f>
        <v>1900</v>
      </c>
      <c r="J5" s="40" t="str">
        <f>TEXT(WEEKDAY(DATE(AnnoCalendario,10,7),1),"[$-410]aaa")</f>
        <v>1900</v>
      </c>
      <c r="K5" s="40" t="str">
        <f>TEXT(WEEKDAY(DATE(AnnoCalendario,10,8),1),"[$-410]aaa")</f>
        <v>1900</v>
      </c>
      <c r="L5" s="40" t="str">
        <f>TEXT(WEEKDAY(DATE(AnnoCalendario,10,9),1),"[$-410]aaa")</f>
        <v>1900</v>
      </c>
      <c r="M5" s="40" t="str">
        <f>TEXT(WEEKDAY(DATE(AnnoCalendario,10,10),1),"[$-410]aaa")</f>
        <v>1900</v>
      </c>
      <c r="N5" s="40" t="str">
        <f>TEXT(WEEKDAY(DATE(AnnoCalendario,10,11),1),"[$-410]aaa")</f>
        <v>1900</v>
      </c>
      <c r="O5" s="40" t="str">
        <f>TEXT(WEEKDAY(DATE(AnnoCalendario,10,12),1),"[$-410]aaa")</f>
        <v>1900</v>
      </c>
      <c r="P5" s="40" t="str">
        <f>TEXT(WEEKDAY(DATE(AnnoCalendario,10,13),1),"[$-410]aaa")</f>
        <v>1900</v>
      </c>
      <c r="Q5" s="40" t="str">
        <f>TEXT(WEEKDAY(DATE(AnnoCalendario,10,14),1),"[$-410]aaa")</f>
        <v>1900</v>
      </c>
      <c r="R5" s="40" t="str">
        <f>TEXT(WEEKDAY(DATE(AnnoCalendario,10,15),1),"[$-410]aaa")</f>
        <v>1900</v>
      </c>
      <c r="S5" s="40" t="str">
        <f>TEXT(WEEKDAY(DATE(AnnoCalendario,10,16),1),"[$-410]aaa")</f>
        <v>1900</v>
      </c>
      <c r="T5" s="40" t="str">
        <f>TEXT(WEEKDAY(DATE(AnnoCalendario,10,17),1),"[$-410]aaa")</f>
        <v>1900</v>
      </c>
      <c r="U5" s="40" t="str">
        <f>TEXT(WEEKDAY(DATE(AnnoCalendario,10,18),1),"[$-410]aaa")</f>
        <v>1900</v>
      </c>
      <c r="V5" s="40" t="str">
        <f>TEXT(WEEKDAY(DATE(AnnoCalendario,10,19),1),"[$-410]aaa")</f>
        <v>1900</v>
      </c>
      <c r="W5" s="40" t="str">
        <f>TEXT(WEEKDAY(DATE(AnnoCalendario,10,20),1),"[$-410]aaa")</f>
        <v>1900</v>
      </c>
      <c r="X5" s="40" t="str">
        <f>TEXT(WEEKDAY(DATE(AnnoCalendario,10,21),1),"[$-410]aaa")</f>
        <v>1900</v>
      </c>
      <c r="Y5" s="40" t="str">
        <f>TEXT(WEEKDAY(DATE(AnnoCalendario,10,22),1),"[$-410]aaa")</f>
        <v>1900</v>
      </c>
      <c r="Z5" s="40" t="str">
        <f>TEXT(WEEKDAY(DATE(AnnoCalendario,10,23),1),"[$-410]aaa")</f>
        <v>1900</v>
      </c>
      <c r="AA5" s="40" t="str">
        <f>TEXT(WEEKDAY(DATE(AnnoCalendario,10,24),1),"[$-410]aaa")</f>
        <v>1900</v>
      </c>
      <c r="AB5" s="40" t="str">
        <f>TEXT(WEEKDAY(DATE(AnnoCalendario,10,25),1),"[$-410]aaa")</f>
        <v>1900</v>
      </c>
      <c r="AC5" s="40" t="str">
        <f>TEXT(WEEKDAY(DATE(AnnoCalendario,10,26),1),"[$-410]aaa")</f>
        <v>1900</v>
      </c>
      <c r="AD5" s="40" t="str">
        <f>TEXT(WEEKDAY(DATE(AnnoCalendario,10,27),1),"[$-410]aaa")</f>
        <v>1900</v>
      </c>
      <c r="AE5" s="40" t="str">
        <f>TEXT(WEEKDAY(DATE(AnnoCalendario,10,28),1),"[$-410]aaa")</f>
        <v>1900</v>
      </c>
      <c r="AF5" s="40" t="str">
        <f>TEXT(WEEKDAY(DATE(AnnoCalendario,10,29),1),"[$-410]aaa")</f>
        <v>1900</v>
      </c>
      <c r="AG5" s="40" t="str">
        <f>TEXT(WEEKDAY(DATE(AnnoCalendario,10,30),1),"[$-410]aaa")</f>
        <v>1900</v>
      </c>
      <c r="AH5" s="40" t="str">
        <f>TEXT(WEEKDAY(DATE(AnnoCalendario,10,31),1),"[$-410]aaa")</f>
        <v>1900</v>
      </c>
      <c r="AI5" s="129" t="s">
        <v>38</v>
      </c>
      <c r="AJ5" s="130"/>
      <c r="AK5" s="130"/>
      <c r="AL5" s="130"/>
      <c r="AM5" s="131"/>
    </row>
    <row r="6" spans="1:40" s="6" customFormat="1" ht="14.25" customHeight="1">
      <c r="B6" s="43" t="s">
        <v>34</v>
      </c>
      <c r="C6" s="44"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90" t="s">
        <v>132</v>
      </c>
      <c r="AJ6" s="66" t="s">
        <v>139</v>
      </c>
      <c r="AK6" s="67" t="s">
        <v>138</v>
      </c>
      <c r="AL6" s="68" t="s">
        <v>31</v>
      </c>
      <c r="AM6" s="48" t="s">
        <v>37</v>
      </c>
      <c r="AN6" s="5"/>
    </row>
    <row r="7" spans="1:40" s="6" customFormat="1" ht="16.5" customHeight="1">
      <c r="B7" s="45"/>
      <c r="C7" s="46" t="str">
        <f>IFERROR(VLOOKUP(FrequenzaOttobre[[#This Row],[ID studente]],ElencoStudenti[],18,FALSE),"")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22"/>
      <c r="AH7" s="22"/>
      <c r="AI7" s="7">
        <f>COUNTIF(FrequenzaOttobre[[#This Row],[1]:[31]],Codice1)</f>
        <v>0</v>
      </c>
      <c r="AJ7" s="47">
        <f>COUNTIF(FrequenzaOttobre[[#This Row],[1]:[31]],Codice2)</f>
        <v>0</v>
      </c>
      <c r="AK7" s="47">
        <f>COUNTIF(FrequenzaOttobre[[#This Row],[1]:[31]],Codice3)</f>
        <v>0</v>
      </c>
      <c r="AL7" s="47">
        <f>COUNTIF(FrequenzaOttobre[[#This Row],[1]:[31]],Codice4)</f>
        <v>0</v>
      </c>
      <c r="AM7" s="7">
        <f>SUM(FrequenzaOttobre[[#This Row],[N]:[G]])</f>
        <v>0</v>
      </c>
      <c r="AN7" s="5"/>
    </row>
    <row r="8" spans="1:40" s="6" customFormat="1" ht="16.5" customHeight="1">
      <c r="B8" s="45"/>
      <c r="C8" s="46" t="str">
        <f>IFERROR(VLOOKUP(FrequenzaOttobre[[#This Row],[ID studente]],ElencoStudenti[],18,FALSE),"")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22"/>
      <c r="AH8" s="22"/>
      <c r="AI8" s="7">
        <f>COUNTIF(FrequenzaOttobre[[#This Row],[1]:[31]],Codice1)</f>
        <v>0</v>
      </c>
      <c r="AJ8" s="47">
        <f>COUNTIF(FrequenzaOttobre[[#This Row],[1]:[31]],Codice2)</f>
        <v>0</v>
      </c>
      <c r="AK8" s="47">
        <f>COUNTIF(FrequenzaOttobre[[#This Row],[1]:[31]],Codice3)</f>
        <v>0</v>
      </c>
      <c r="AL8" s="47">
        <f>COUNTIF(FrequenzaOttobre[[#This Row],[1]:[31]],Codice4)</f>
        <v>0</v>
      </c>
      <c r="AM8" s="7">
        <f>SUM(FrequenzaOttobre[[#This Row],[N]:[G]])</f>
        <v>0</v>
      </c>
      <c r="AN8" s="5"/>
    </row>
    <row r="9" spans="1:40" s="9" customFormat="1" ht="16.5" customHeight="1">
      <c r="B9" s="45"/>
      <c r="C9" s="46" t="str">
        <f>IFERROR(VLOOKUP(FrequenzaOttobre[[#This Row],[ID studente]],ElencoStudenti[],18,FALSE),"")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22"/>
      <c r="AH9" s="22"/>
      <c r="AI9" s="7">
        <f>COUNTIF(FrequenzaOttobre[[#This Row],[1]:[31]],Codice1)</f>
        <v>0</v>
      </c>
      <c r="AJ9" s="47">
        <f>COUNTIF(FrequenzaOttobre[[#This Row],[1]:[31]],Codice2)</f>
        <v>0</v>
      </c>
      <c r="AK9" s="47">
        <f>COUNTIF(FrequenzaOttobre[[#This Row],[1]:[31]],Codice3)</f>
        <v>0</v>
      </c>
      <c r="AL9" s="47">
        <f>COUNTIF(FrequenzaOttobre[[#This Row],[1]:[31]],Codice4)</f>
        <v>0</v>
      </c>
      <c r="AM9" s="7">
        <f>SUM(FrequenzaOttobre[[#This Row],[N]:[G]])</f>
        <v>0</v>
      </c>
      <c r="AN9" s="8"/>
    </row>
    <row r="10" spans="1:40" ht="16.5" customHeight="1">
      <c r="B10" s="45"/>
      <c r="C10" s="46" t="str">
        <f>IFERROR(VLOOKUP(FrequenzaOttobre[[#This Row],[ID studente]],ElencoStudenti[],18,FALSE),"")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22"/>
      <c r="AH10" s="22"/>
      <c r="AI10" s="7">
        <f>COUNTIF(FrequenzaOttobre[[#This Row],[1]:[31]],Codice1)</f>
        <v>0</v>
      </c>
      <c r="AJ10" s="47">
        <f>COUNTIF(FrequenzaOttobre[[#This Row],[1]:[31]],Codice2)</f>
        <v>0</v>
      </c>
      <c r="AK10" s="47">
        <f>COUNTIF(FrequenzaOttobre[[#This Row],[1]:[31]],Codice3)</f>
        <v>0</v>
      </c>
      <c r="AL10" s="47">
        <f>COUNTIF(FrequenzaOttobre[[#This Row],[1]:[31]],Codice4)</f>
        <v>0</v>
      </c>
      <c r="AM10" s="7">
        <f>SUM(FrequenzaOttobre[[#This Row],[N]:[G]])</f>
        <v>0</v>
      </c>
      <c r="AN10" s="11"/>
    </row>
    <row r="11" spans="1:40" ht="16.5" customHeight="1">
      <c r="B11" s="45"/>
      <c r="C11" s="46" t="str">
        <f>IFERROR(VLOOKUP(FrequenzaOttobre[[#This Row],[ID studente]],ElencoStudenti[],18,FALSE),"")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22"/>
      <c r="AH11" s="22"/>
      <c r="AI11" s="7">
        <f>COUNTIF(FrequenzaOttobre[[#This Row],[1]:[31]],Codice1)</f>
        <v>0</v>
      </c>
      <c r="AJ11" s="47">
        <f>COUNTIF(FrequenzaOttobre[[#This Row],[1]:[31]],Codice2)</f>
        <v>0</v>
      </c>
      <c r="AK11" s="47">
        <f>COUNTIF(FrequenzaOttobre[[#This Row],[1]:[31]],Codice3)</f>
        <v>0</v>
      </c>
      <c r="AL11" s="47">
        <f>COUNTIF(FrequenzaOttobre[[#This Row],[1]:[31]],Codice4)</f>
        <v>0</v>
      </c>
      <c r="AM11" s="7">
        <f>SUM(FrequenzaOttobre[[#This Row],[N]:[G]])</f>
        <v>0</v>
      </c>
      <c r="AN11" s="11"/>
    </row>
    <row r="12" spans="1:40" ht="16.5" customHeight="1">
      <c r="B12" s="116"/>
      <c r="C12" s="4" t="s">
        <v>114</v>
      </c>
      <c r="D12" s="112">
        <f>COUNTIF(FrequenzaOttobre[1],"N")+COUNTIF(FrequenzaOttobre[1],"G")</f>
        <v>0</v>
      </c>
      <c r="E12" s="112">
        <f>COUNTIF(FrequenzaOttobre[2],"N")+COUNTIF(FrequenzaOttobre[2],"G")</f>
        <v>0</v>
      </c>
      <c r="F12" s="112">
        <f>COUNTIF(FrequenzaOttobre[3],"N")+COUNTIF(FrequenzaOttobre[3],"G")</f>
        <v>0</v>
      </c>
      <c r="G12" s="112">
        <f>COUNTIF(FrequenzaOttobre[4],"N")+COUNTIF(FrequenzaOttobre[4],"G")</f>
        <v>0</v>
      </c>
      <c r="H12" s="112">
        <f>COUNTIF(FrequenzaOttobre[5],"N")+COUNTIF(FrequenzaOttobre[5],"G")</f>
        <v>0</v>
      </c>
      <c r="I12" s="112">
        <f>COUNTIF(FrequenzaOttobre[6],"N")+COUNTIF(FrequenzaOttobre[6],"G")</f>
        <v>0</v>
      </c>
      <c r="J12" s="112">
        <f>COUNTIF(FrequenzaOttobre[7],"N")+COUNTIF(FrequenzaOttobre[7],"G")</f>
        <v>0</v>
      </c>
      <c r="K12" s="112">
        <f>COUNTIF(FrequenzaOttobre[8],"N")+COUNTIF(FrequenzaOttobre[8],"G")</f>
        <v>0</v>
      </c>
      <c r="L12" s="112">
        <f>COUNTIF(FrequenzaOttobre[9],"N")+COUNTIF(FrequenzaOttobre[9],"G")</f>
        <v>0</v>
      </c>
      <c r="M12" s="112">
        <f>COUNTIF(FrequenzaOttobre[10],"N")+COUNTIF(FrequenzaOttobre[10],"G")</f>
        <v>0</v>
      </c>
      <c r="N12" s="112">
        <f>COUNTIF(FrequenzaOttobre[11],"N")+COUNTIF(FrequenzaOttobre[11],"G")</f>
        <v>0</v>
      </c>
      <c r="O12" s="112">
        <f>COUNTIF(FrequenzaOttobre[12],"N")+COUNTIF(FrequenzaOttobre[12],"G")</f>
        <v>0</v>
      </c>
      <c r="P12" s="112">
        <f>COUNTIF(FrequenzaOttobre[13],"N")+COUNTIF(FrequenzaOttobre[13],"G")</f>
        <v>0</v>
      </c>
      <c r="Q12" s="112">
        <f>COUNTIF(FrequenzaOttobre[14],"N")+COUNTIF(FrequenzaOttobre[14],"G")</f>
        <v>0</v>
      </c>
      <c r="R12" s="112">
        <f>COUNTIF(FrequenzaOttobre[15],"N")+COUNTIF(FrequenzaOttobre[15],"G")</f>
        <v>0</v>
      </c>
      <c r="S12" s="112">
        <f>COUNTIF(FrequenzaOttobre[16],"N")+COUNTIF(FrequenzaOttobre[16],"G")</f>
        <v>0</v>
      </c>
      <c r="T12" s="112">
        <f>COUNTIF(FrequenzaOttobre[17],"N")+COUNTIF(FrequenzaOttobre[17],"G")</f>
        <v>0</v>
      </c>
      <c r="U12" s="112">
        <f>COUNTIF(FrequenzaOttobre[18],"N")+COUNTIF(FrequenzaOttobre[18],"G")</f>
        <v>0</v>
      </c>
      <c r="V12" s="112">
        <f>COUNTIF(FrequenzaOttobre[19],"N")+COUNTIF(FrequenzaOttobre[19],"G")</f>
        <v>0</v>
      </c>
      <c r="W12" s="112">
        <f>COUNTIF(FrequenzaOttobre[20],"N")+COUNTIF(FrequenzaOttobre[20],"G")</f>
        <v>0</v>
      </c>
      <c r="X12" s="112">
        <f>COUNTIF(FrequenzaOttobre[21],"N")+COUNTIF(FrequenzaOttobre[21],"G")</f>
        <v>0</v>
      </c>
      <c r="Y12" s="112">
        <f>COUNTIF(FrequenzaOttobre[22],"N")+COUNTIF(FrequenzaOttobre[22],"G")</f>
        <v>0</v>
      </c>
      <c r="Z12" s="112">
        <f>COUNTIF(FrequenzaOttobre[23],"N")+COUNTIF(FrequenzaOttobre[23],"G")</f>
        <v>0</v>
      </c>
      <c r="AA12" s="112">
        <f>COUNTIF(FrequenzaOttobre[24],"N")+COUNTIF(FrequenzaOttobre[24],"G")</f>
        <v>0</v>
      </c>
      <c r="AB12" s="112">
        <f>COUNTIF(FrequenzaOttobre[25],"N")+COUNTIF(FrequenzaOttobre[25],"G")</f>
        <v>0</v>
      </c>
      <c r="AC12" s="112">
        <f>COUNTIF(FrequenzaOttobre[26],"N")+COUNTIF(FrequenzaOttobre[26],"G")</f>
        <v>0</v>
      </c>
      <c r="AD12" s="112">
        <f>COUNTIF(FrequenzaOttobre[27],"N")+COUNTIF(FrequenzaOttobre[27],"G")</f>
        <v>0</v>
      </c>
      <c r="AE12" s="112">
        <f>COUNTIF(FrequenzaOttobre[28],"N")+COUNTIF(FrequenzaOttobre[28],"G")</f>
        <v>0</v>
      </c>
      <c r="AF12" s="112">
        <f>COUNTIF(FrequenzaOttobre[29],"N")+COUNTIF(FrequenzaOttobre[29],"G")</f>
        <v>0</v>
      </c>
      <c r="AG12" s="112">
        <f>COUNTIF(FrequenzaOttobre[30],"N")+COUNTIF(FrequenzaOttobre[30],"G")</f>
        <v>0</v>
      </c>
      <c r="AH12" s="112">
        <f>COUNTIF(FrequenzaOttobre[31],"N")+COUNTIF(FrequenzaOttobre[31],"G")</f>
        <v>0</v>
      </c>
      <c r="AI12" s="112">
        <f>SUBTOTAL(109,FrequenzaOttobre[I])</f>
        <v>0</v>
      </c>
      <c r="AJ12" s="112">
        <f>SUBTOTAL(109,FrequenzaOttobre[N])</f>
        <v>0</v>
      </c>
      <c r="AK12" s="112">
        <f>SUBTOTAL(109,FrequenzaOttobre[G])</f>
        <v>0</v>
      </c>
      <c r="AL12" s="112">
        <f>SUBTOTAL(109,FrequenzaOttobre[P])</f>
        <v>0</v>
      </c>
      <c r="AM12" s="112">
        <f>SUBTOTAL(109,FrequenzaOttobre[Giorni di assenza])</f>
        <v>0</v>
      </c>
    </row>
    <row r="13" spans="1:40" ht="16.5" customHeight="1"/>
    <row r="14" spans="1:40" ht="16.5" customHeight="1"/>
    <row r="15" spans="1:40" ht="16.5" customHeight="1"/>
    <row r="16" spans="1:40"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AM7:AM11">
    <cfRule type="dataBar" priority="6">
      <dataBar>
        <cfvo type="min"/>
        <cfvo type="num" val="31"/>
        <color theme="4"/>
      </dataBar>
      <extLst>
        <ext xmlns:x14="http://schemas.microsoft.com/office/spreadsheetml/2009/9/main" uri="{B025F937-C7B1-47D3-B67F-A62EFF666E3E}">
          <x14:id>{6EA17848-2AAC-40C7-98F3-52AFCDA9173D}</x14:id>
        </ext>
      </extLst>
    </cfRule>
  </conditionalFormatting>
  <conditionalFormatting sqref="AG7:AI11">
    <cfRule type="expression" dxfId="837" priority="7" stopIfTrue="1">
      <formula>AG7=Codice2</formula>
    </cfRule>
  </conditionalFormatting>
  <conditionalFormatting sqref="AG7:AH11">
    <cfRule type="expression" dxfId="836" priority="8" stopIfTrue="1">
      <formula>AG7=Codice5</formula>
    </cfRule>
    <cfRule type="expression" dxfId="835" priority="9" stopIfTrue="1">
      <formula>AG7=Codice4</formula>
    </cfRule>
    <cfRule type="expression" dxfId="834" priority="10" stopIfTrue="1">
      <formula>AG7=Codice3</formula>
    </cfRule>
    <cfRule type="expression" dxfId="833" priority="11" stopIfTrue="1">
      <formula>AG7=Codice1</formula>
    </cfRule>
  </conditionalFormatting>
  <conditionalFormatting sqref="D7:AF11">
    <cfRule type="expression" dxfId="832" priority="1" stopIfTrue="1">
      <formula>D7=Codice2</formula>
    </cfRule>
  </conditionalFormatting>
  <conditionalFormatting sqref="D7:AF11">
    <cfRule type="expression" dxfId="831" priority="2" stopIfTrue="1">
      <formula>D7=Codice5</formula>
    </cfRule>
    <cfRule type="expression" dxfId="830" priority="3" stopIfTrue="1">
      <formula>D7=Codice4</formula>
    </cfRule>
    <cfRule type="expression" dxfId="829" priority="4" stopIfTrue="1">
      <formula>D7=Codice3</formula>
    </cfRule>
    <cfRule type="expression" dxfId="828" priority="5" stopIfTrue="1">
      <formula>D7=Codice1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EA17848-2AAC-40C7-98F3-52AFCDA9173D}">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N345"/>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12" customWidth="1"/>
    <col min="2" max="2" width="12.42578125" style="12" bestFit="1" customWidth="1"/>
    <col min="3" max="3" width="28.85546875" style="13" customWidth="1"/>
    <col min="4"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40" s="1" customFormat="1" ht="42" customHeight="1">
      <c r="A1" s="35"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f>AnnoCalendario</f>
        <v>2012</v>
      </c>
    </row>
    <row r="2" spans="1:40" customFormat="1" ht="13.5"/>
    <row r="3" spans="1:40" s="30" customFormat="1" ht="12.75" customHeight="1">
      <c r="C3" s="42" t="str">
        <f>TestoLeggendaColori</f>
        <v xml:space="preserve">LEGGENDA COLORI </v>
      </c>
      <c r="D3" s="49" t="str">
        <f>Codice1</f>
        <v>I</v>
      </c>
      <c r="E3" s="65" t="str">
        <f>TestoCodice1</f>
        <v>In ritardo</v>
      </c>
      <c r="F3" s="57"/>
      <c r="H3" s="50" t="str">
        <f>Codice2</f>
        <v>G</v>
      </c>
      <c r="I3" s="54" t="str">
        <f>TestoCodice2</f>
        <v>Giustificato</v>
      </c>
      <c r="L3" s="51" t="str">
        <f>Codice3</f>
        <v>N</v>
      </c>
      <c r="M3" s="54" t="str">
        <f>TestoCodice3</f>
        <v>Non giustificato</v>
      </c>
      <c r="P3" s="52" t="str">
        <f>Codice4</f>
        <v>P</v>
      </c>
      <c r="Q3" s="54" t="str">
        <f>TestoCodice4</f>
        <v>Presente</v>
      </c>
      <c r="T3" s="53" t="str">
        <f>Codice5</f>
        <v>S</v>
      </c>
      <c r="U3" s="54" t="str">
        <f>TestoCodice5</f>
        <v>Scuola chiusa</v>
      </c>
      <c r="W3"/>
      <c r="X3"/>
      <c r="Y3"/>
      <c r="AD3" s="29"/>
      <c r="AE3" s="29"/>
      <c r="AH3" s="31"/>
      <c r="AI3" s="32"/>
      <c r="AK3" s="33"/>
    </row>
    <row r="4" spans="1:40" customFormat="1" ht="16.5" customHeight="1"/>
    <row r="5" spans="1:40" s="2" customFormat="1" ht="18" customHeight="1">
      <c r="B5" s="118">
        <f>DATE(AnnoCalendario,11,1)</f>
        <v>41214</v>
      </c>
      <c r="C5" s="58"/>
      <c r="D5" s="40" t="str">
        <f>TEXT(WEEKDAY(DATE(AnnoCalendario,11,1),1),"[$-410]aaa")</f>
        <v>1900</v>
      </c>
      <c r="E5" s="40" t="str">
        <f>TEXT(WEEKDAY(DATE(AnnoCalendario,11,2),1),"[$-410]aaa")</f>
        <v>1900</v>
      </c>
      <c r="F5" s="40" t="str">
        <f>TEXT(WEEKDAY(DATE(AnnoCalendario,11,3),1),"[$-410]aaa")</f>
        <v>1900</v>
      </c>
      <c r="G5" s="40" t="str">
        <f>TEXT(WEEKDAY(DATE(AnnoCalendario,11,4),1),"[$-410]aaa")</f>
        <v>1900</v>
      </c>
      <c r="H5" s="40" t="str">
        <f>TEXT(WEEKDAY(DATE(AnnoCalendario,11,5),1),"[$-410]aaa")</f>
        <v>1900</v>
      </c>
      <c r="I5" s="40" t="str">
        <f>TEXT(WEEKDAY(DATE(AnnoCalendario,11,6),1),"[$-410]aaa")</f>
        <v>1900</v>
      </c>
      <c r="J5" s="40" t="str">
        <f>TEXT(WEEKDAY(DATE(AnnoCalendario,11,7),1),"[$-410]aaa")</f>
        <v>1900</v>
      </c>
      <c r="K5" s="40" t="str">
        <f>TEXT(WEEKDAY(DATE(AnnoCalendario,11,8),1),"[$-410]aaa")</f>
        <v>1900</v>
      </c>
      <c r="L5" s="40" t="str">
        <f>TEXT(WEEKDAY(DATE(AnnoCalendario,11,9),1),"[$-410]aaa")</f>
        <v>1900</v>
      </c>
      <c r="M5" s="40" t="str">
        <f>TEXT(WEEKDAY(DATE(AnnoCalendario,11,10),1),"[$-410]aaa")</f>
        <v>1900</v>
      </c>
      <c r="N5" s="40" t="str">
        <f>TEXT(WEEKDAY(DATE(AnnoCalendario,11,11),1),"[$-410]aaa")</f>
        <v>1900</v>
      </c>
      <c r="O5" s="40" t="str">
        <f>TEXT(WEEKDAY(DATE(AnnoCalendario,11,12),1),"[$-410]aaa")</f>
        <v>1900</v>
      </c>
      <c r="P5" s="40" t="str">
        <f>TEXT(WEEKDAY(DATE(AnnoCalendario,11,13),1),"[$-410]aaa")</f>
        <v>1900</v>
      </c>
      <c r="Q5" s="40" t="str">
        <f>TEXT(WEEKDAY(DATE(AnnoCalendario,11,14),1),"[$-410]aaa")</f>
        <v>1900</v>
      </c>
      <c r="R5" s="40" t="str">
        <f>TEXT(WEEKDAY(DATE(AnnoCalendario,11,15),1),"[$-410]aaa")</f>
        <v>1900</v>
      </c>
      <c r="S5" s="40" t="str">
        <f>TEXT(WEEKDAY(DATE(AnnoCalendario,11,16),1),"[$-410]aaa")</f>
        <v>1900</v>
      </c>
      <c r="T5" s="40" t="str">
        <f>TEXT(WEEKDAY(DATE(AnnoCalendario,11,17),1),"[$-410]aaa")</f>
        <v>1900</v>
      </c>
      <c r="U5" s="40" t="str">
        <f>TEXT(WEEKDAY(DATE(AnnoCalendario,11,18),1),"[$-410]aaa")</f>
        <v>1900</v>
      </c>
      <c r="V5" s="40" t="str">
        <f>TEXT(WEEKDAY(DATE(AnnoCalendario,11,19),1),"[$-410]aaa")</f>
        <v>1900</v>
      </c>
      <c r="W5" s="40" t="str">
        <f>TEXT(WEEKDAY(DATE(AnnoCalendario,11,20),1),"[$-410]aaa")</f>
        <v>1900</v>
      </c>
      <c r="X5" s="40" t="str">
        <f>TEXT(WEEKDAY(DATE(AnnoCalendario,11,21),1),"[$-410]aaa")</f>
        <v>1900</v>
      </c>
      <c r="Y5" s="40" t="str">
        <f>TEXT(WEEKDAY(DATE(AnnoCalendario,11,22),1),"[$-410]aaa")</f>
        <v>1900</v>
      </c>
      <c r="Z5" s="40" t="str">
        <f>TEXT(WEEKDAY(DATE(AnnoCalendario,11,23),1),"[$-410]aaa")</f>
        <v>1900</v>
      </c>
      <c r="AA5" s="40" t="str">
        <f>TEXT(WEEKDAY(DATE(AnnoCalendario,11,24),1),"[$-410]aaa")</f>
        <v>1900</v>
      </c>
      <c r="AB5" s="40" t="str">
        <f>TEXT(WEEKDAY(DATE(AnnoCalendario,11,25),1),"[$-410]aaa")</f>
        <v>1900</v>
      </c>
      <c r="AC5" s="40" t="str">
        <f>TEXT(WEEKDAY(DATE(AnnoCalendario,11,26),1),"[$-410]aaa")</f>
        <v>1900</v>
      </c>
      <c r="AD5" s="40" t="str">
        <f>TEXT(WEEKDAY(DATE(AnnoCalendario,11,27),1),"[$-410]aaa")</f>
        <v>1900</v>
      </c>
      <c r="AE5" s="40" t="str">
        <f>TEXT(WEEKDAY(DATE(AnnoCalendario,11,28),1),"[$-410]aaa")</f>
        <v>1900</v>
      </c>
      <c r="AF5" s="40" t="str">
        <f>TEXT(WEEKDAY(DATE(AnnoCalendario,11,29),1),"[$-410]aaa")</f>
        <v>1900</v>
      </c>
      <c r="AG5" s="40" t="str">
        <f>TEXT(WEEKDAY(DATE(AnnoCalendario,11,30),1),"[$-410]aaa")</f>
        <v>1900</v>
      </c>
      <c r="AH5" s="40"/>
      <c r="AI5" s="129" t="s">
        <v>38</v>
      </c>
      <c r="AJ5" s="130"/>
      <c r="AK5" s="130"/>
      <c r="AL5" s="130"/>
      <c r="AM5" s="131"/>
    </row>
    <row r="6" spans="1:40" s="6" customFormat="1" ht="14.25" customHeight="1">
      <c r="B6" s="43" t="s">
        <v>34</v>
      </c>
      <c r="C6" s="44"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113</v>
      </c>
      <c r="AI6" s="90" t="s">
        <v>132</v>
      </c>
      <c r="AJ6" s="66" t="s">
        <v>139</v>
      </c>
      <c r="AK6" s="67" t="s">
        <v>138</v>
      </c>
      <c r="AL6" s="68" t="s">
        <v>31</v>
      </c>
      <c r="AM6" s="48" t="s">
        <v>37</v>
      </c>
      <c r="AN6" s="5"/>
    </row>
    <row r="7" spans="1:40" s="6" customFormat="1" ht="16.5" customHeight="1">
      <c r="B7" s="45"/>
      <c r="C7" s="46" t="str">
        <f>IFERROR(VLOOKUP(FrequenzaNovembre[[#This Row],[ID studente]],ElencoStudenti[],18,FALSE),"")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22"/>
      <c r="AH7" s="22"/>
      <c r="AI7" s="7">
        <f>COUNTIF(FrequenzaNovembre[[#This Row],[1]:[ ]],Codice1)</f>
        <v>0</v>
      </c>
      <c r="AJ7" s="47">
        <f>COUNTIF(FrequenzaNovembre[[#This Row],[1]:[ ]],Codice2)</f>
        <v>0</v>
      </c>
      <c r="AK7" s="47">
        <f>COUNTIF(FrequenzaNovembre[[#This Row],[1]:[ ]],Codice3)</f>
        <v>0</v>
      </c>
      <c r="AL7" s="47">
        <f>COUNTIF(FrequenzaNovembre[[#This Row],[1]:[ ]],Codice4)</f>
        <v>0</v>
      </c>
      <c r="AM7" s="7">
        <f>SUM(FrequenzaNovembre[[#This Row],[N]:[G]])</f>
        <v>0</v>
      </c>
      <c r="AN7" s="5"/>
    </row>
    <row r="8" spans="1:40" s="6" customFormat="1" ht="16.5" customHeight="1">
      <c r="B8" s="45"/>
      <c r="C8" s="46" t="str">
        <f>IFERROR(VLOOKUP(FrequenzaNovembre[[#This Row],[ID studente]],ElencoStudenti[],18,FALSE),"")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22"/>
      <c r="AH8" s="22"/>
      <c r="AI8" s="7">
        <f>COUNTIF(FrequenzaNovembre[[#This Row],[1]:[ ]],Codice1)</f>
        <v>0</v>
      </c>
      <c r="AJ8" s="47">
        <f>COUNTIF(FrequenzaNovembre[[#This Row],[1]:[ ]],Codice2)</f>
        <v>0</v>
      </c>
      <c r="AK8" s="47">
        <f>COUNTIF(FrequenzaNovembre[[#This Row],[1]:[ ]],Codice3)</f>
        <v>0</v>
      </c>
      <c r="AL8" s="47">
        <f>COUNTIF(FrequenzaNovembre[[#This Row],[1]:[ ]],Codice4)</f>
        <v>0</v>
      </c>
      <c r="AM8" s="7">
        <f>SUM(FrequenzaNovembre[[#This Row],[N]:[G]])</f>
        <v>0</v>
      </c>
      <c r="AN8" s="5"/>
    </row>
    <row r="9" spans="1:40" s="9" customFormat="1" ht="16.5" customHeight="1">
      <c r="B9" s="45"/>
      <c r="C9" s="46" t="str">
        <f>IFERROR(VLOOKUP(FrequenzaNovembre[[#This Row],[ID studente]],ElencoStudenti[],18,FALSE),"")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22"/>
      <c r="AH9" s="22"/>
      <c r="AI9" s="7">
        <f>COUNTIF(FrequenzaNovembre[[#This Row],[1]:[ ]],Codice1)</f>
        <v>0</v>
      </c>
      <c r="AJ9" s="47">
        <f>COUNTIF(FrequenzaNovembre[[#This Row],[1]:[ ]],Codice2)</f>
        <v>0</v>
      </c>
      <c r="AK9" s="47">
        <f>COUNTIF(FrequenzaNovembre[[#This Row],[1]:[ ]],Codice3)</f>
        <v>0</v>
      </c>
      <c r="AL9" s="47">
        <f>COUNTIF(FrequenzaNovembre[[#This Row],[1]:[ ]],Codice4)</f>
        <v>0</v>
      </c>
      <c r="AM9" s="7">
        <f>SUM(FrequenzaNovembre[[#This Row],[N]:[G]])</f>
        <v>0</v>
      </c>
      <c r="AN9" s="8"/>
    </row>
    <row r="10" spans="1:40" ht="16.5" customHeight="1">
      <c r="B10" s="45"/>
      <c r="C10" s="46" t="str">
        <f>IFERROR(VLOOKUP(FrequenzaNovembre[[#This Row],[ID studente]],ElencoStudenti[],18,FALSE),"")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22"/>
      <c r="AH10" s="22"/>
      <c r="AI10" s="7">
        <f>COUNTIF(FrequenzaNovembre[[#This Row],[1]:[ ]],Codice1)</f>
        <v>0</v>
      </c>
      <c r="AJ10" s="47">
        <f>COUNTIF(FrequenzaNovembre[[#This Row],[1]:[ ]],Codice2)</f>
        <v>0</v>
      </c>
      <c r="AK10" s="47">
        <f>COUNTIF(FrequenzaNovembre[[#This Row],[1]:[ ]],Codice3)</f>
        <v>0</v>
      </c>
      <c r="AL10" s="47">
        <f>COUNTIF(FrequenzaNovembre[[#This Row],[1]:[ ]],Codice4)</f>
        <v>0</v>
      </c>
      <c r="AM10" s="7">
        <f>SUM(FrequenzaNovembre[[#This Row],[N]:[G]])</f>
        <v>0</v>
      </c>
      <c r="AN10" s="11"/>
    </row>
    <row r="11" spans="1:40" ht="16.5" customHeight="1">
      <c r="B11" s="45"/>
      <c r="C11" s="46" t="str">
        <f>IFERROR(VLOOKUP(FrequenzaNovembre[[#This Row],[ID studente]],ElencoStudenti[],18,FALSE),"")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22"/>
      <c r="AH11" s="22"/>
      <c r="AI11" s="7">
        <f>COUNTIF(FrequenzaNovembre[[#This Row],[1]:[ ]],Codice1)</f>
        <v>0</v>
      </c>
      <c r="AJ11" s="47">
        <f>COUNTIF(FrequenzaNovembre[[#This Row],[1]:[ ]],Codice2)</f>
        <v>0</v>
      </c>
      <c r="AK11" s="47">
        <f>COUNTIF(FrequenzaNovembre[[#This Row],[1]:[ ]],Codice3)</f>
        <v>0</v>
      </c>
      <c r="AL11" s="47">
        <f>COUNTIF(FrequenzaNovembre[[#This Row],[1]:[ ]],Codice4)</f>
        <v>0</v>
      </c>
      <c r="AM11" s="7">
        <f>SUM(FrequenzaNovembre[[#This Row],[N]:[G]])</f>
        <v>0</v>
      </c>
      <c r="AN11" s="11"/>
    </row>
    <row r="12" spans="1:40" ht="16.5" customHeight="1">
      <c r="B12" s="112"/>
      <c r="C12" s="117" t="s">
        <v>114</v>
      </c>
      <c r="D12" s="112">
        <f>COUNTIF(FrequenzaNovembre[1],"N")+COUNTIF(FrequenzaNovembre[1],"G")</f>
        <v>0</v>
      </c>
      <c r="E12" s="112">
        <f>COUNTIF(FrequenzaNovembre[2],"N")+COUNTIF(FrequenzaNovembre[2],"G")</f>
        <v>0</v>
      </c>
      <c r="F12" s="112">
        <f>COUNTIF(FrequenzaNovembre[3],"N")+COUNTIF(FrequenzaNovembre[3],"G")</f>
        <v>0</v>
      </c>
      <c r="G12" s="112">
        <f>COUNTIF(FrequenzaNovembre[4],"N")+COUNTIF(FrequenzaNovembre[4],"G")</f>
        <v>0</v>
      </c>
      <c r="H12" s="112">
        <f>COUNTIF(FrequenzaNovembre[5],"N")+COUNTIF(FrequenzaNovembre[5],"G")</f>
        <v>0</v>
      </c>
      <c r="I12" s="112">
        <f>COUNTIF(FrequenzaNovembre[6],"N")+COUNTIF(FrequenzaNovembre[6],"G")</f>
        <v>0</v>
      </c>
      <c r="J12" s="112">
        <f>COUNTIF(FrequenzaNovembre[7],"N")+COUNTIF(FrequenzaNovembre[7],"G")</f>
        <v>0</v>
      </c>
      <c r="K12" s="112">
        <f>COUNTIF(FrequenzaNovembre[8],"N")+COUNTIF(FrequenzaNovembre[8],"G")</f>
        <v>0</v>
      </c>
      <c r="L12" s="112">
        <f>COUNTIF(FrequenzaNovembre[9],"N")+COUNTIF(FrequenzaNovembre[9],"G")</f>
        <v>0</v>
      </c>
      <c r="M12" s="112">
        <f>COUNTIF(FrequenzaNovembre[10],"N")+COUNTIF(FrequenzaNovembre[10],"G")</f>
        <v>0</v>
      </c>
      <c r="N12" s="112">
        <f>COUNTIF(FrequenzaNovembre[11],"N")+COUNTIF(FrequenzaNovembre[11],"G")</f>
        <v>0</v>
      </c>
      <c r="O12" s="112">
        <f>COUNTIF(FrequenzaNovembre[12],"N")+COUNTIF(FrequenzaNovembre[12],"G")</f>
        <v>0</v>
      </c>
      <c r="P12" s="112">
        <f>COUNTIF(FrequenzaNovembre[13],"N")+COUNTIF(FrequenzaNovembre[13],"G")</f>
        <v>0</v>
      </c>
      <c r="Q12" s="112">
        <f>COUNTIF(FrequenzaNovembre[14],"N")+COUNTIF(FrequenzaNovembre[14],"G")</f>
        <v>0</v>
      </c>
      <c r="R12" s="112">
        <f>COUNTIF(FrequenzaNovembre[15],"N")+COUNTIF(FrequenzaNovembre[15],"G")</f>
        <v>0</v>
      </c>
      <c r="S12" s="112">
        <f>COUNTIF(FrequenzaNovembre[16],"N")+COUNTIF(FrequenzaNovembre[16],"G")</f>
        <v>0</v>
      </c>
      <c r="T12" s="112">
        <f>COUNTIF(FrequenzaNovembre[17],"N")+COUNTIF(FrequenzaNovembre[17],"G")</f>
        <v>0</v>
      </c>
      <c r="U12" s="112">
        <f>COUNTIF(FrequenzaNovembre[18],"N")+COUNTIF(FrequenzaNovembre[18],"G")</f>
        <v>0</v>
      </c>
      <c r="V12" s="112">
        <f>COUNTIF(FrequenzaNovembre[19],"N")+COUNTIF(FrequenzaNovembre[19],"G")</f>
        <v>0</v>
      </c>
      <c r="W12" s="112">
        <f>COUNTIF(FrequenzaNovembre[20],"N")+COUNTIF(FrequenzaNovembre[20],"G")</f>
        <v>0</v>
      </c>
      <c r="X12" s="112">
        <f>COUNTIF(FrequenzaNovembre[21],"N")+COUNTIF(FrequenzaNovembre[21],"G")</f>
        <v>0</v>
      </c>
      <c r="Y12" s="112">
        <f>COUNTIF(FrequenzaNovembre[22],"N")+COUNTIF(FrequenzaNovembre[22],"G")</f>
        <v>0</v>
      </c>
      <c r="Z12" s="112">
        <f>COUNTIF(FrequenzaNovembre[23],"N")+COUNTIF(FrequenzaNovembre[23],"G")</f>
        <v>0</v>
      </c>
      <c r="AA12" s="112">
        <f>COUNTIF(FrequenzaNovembre[24],"N")+COUNTIF(FrequenzaNovembre[24],"G")</f>
        <v>0</v>
      </c>
      <c r="AB12" s="112">
        <f>COUNTIF(FrequenzaNovembre[25],"N")+COUNTIF(FrequenzaNovembre[25],"G")</f>
        <v>0</v>
      </c>
      <c r="AC12" s="112">
        <f>COUNTIF(FrequenzaNovembre[26],"N")+COUNTIF(FrequenzaNovembre[26],"G")</f>
        <v>0</v>
      </c>
      <c r="AD12" s="112">
        <f>COUNTIF(FrequenzaNovembre[27],"N")+COUNTIF(FrequenzaNovembre[27],"G")</f>
        <v>0</v>
      </c>
      <c r="AE12" s="112">
        <f>COUNTIF(FrequenzaNovembre[28],"N")+COUNTIF(FrequenzaNovembre[28],"G")</f>
        <v>0</v>
      </c>
      <c r="AF12" s="112">
        <f>COUNTIF(FrequenzaNovembre[29],"N")+COUNTIF(FrequenzaNovembre[29],"G")</f>
        <v>0</v>
      </c>
      <c r="AG12" s="112">
        <f>COUNTIF(FrequenzaNovembre[30],"N")+COUNTIF(FrequenzaNovembre[30],"G")</f>
        <v>0</v>
      </c>
      <c r="AH12" s="112">
        <f>COUNTIF(FrequenzaNovembre[[ ]],"N")+COUNTIF(FrequenzaNovembre[[ ]],"G")</f>
        <v>0</v>
      </c>
      <c r="AI12" s="112">
        <f>SUBTOTAL(109,FrequenzaNovembre[I])</f>
        <v>0</v>
      </c>
      <c r="AJ12" s="112">
        <f>SUBTOTAL(109,FrequenzaNovembre[N])</f>
        <v>0</v>
      </c>
      <c r="AK12" s="112">
        <f>SUBTOTAL(109,FrequenzaNovembre[G])</f>
        <v>0</v>
      </c>
      <c r="AL12" s="112">
        <f>SUBTOTAL(109,FrequenzaNovembre[P])</f>
        <v>0</v>
      </c>
      <c r="AM12" s="112">
        <f>SUBTOTAL(109,FrequenzaNovembre[Giorni di assenza])</f>
        <v>0</v>
      </c>
    </row>
    <row r="13" spans="1:40" ht="16.5" customHeight="1"/>
    <row r="14" spans="1:40" ht="16.5" customHeight="1"/>
    <row r="15" spans="1:40" ht="16.5" customHeight="1"/>
    <row r="16" spans="1:40"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AM7:AM11">
    <cfRule type="dataBar" priority="6">
      <dataBar>
        <cfvo type="min"/>
        <cfvo type="num" val="31"/>
        <color theme="4"/>
      </dataBar>
      <extLst>
        <ext xmlns:x14="http://schemas.microsoft.com/office/spreadsheetml/2009/9/main" uri="{B025F937-C7B1-47D3-B67F-A62EFF666E3E}">
          <x14:id>{4EF7D5CF-EA6D-4C42-92A1-96F3633946CC}</x14:id>
        </ext>
      </extLst>
    </cfRule>
  </conditionalFormatting>
  <conditionalFormatting sqref="AG7:AI11">
    <cfRule type="expression" dxfId="754" priority="7" stopIfTrue="1">
      <formula>AG7=Codice2</formula>
    </cfRule>
  </conditionalFormatting>
  <conditionalFormatting sqref="AG7:AH11">
    <cfRule type="expression" dxfId="753" priority="8" stopIfTrue="1">
      <formula>AG7=Codice5</formula>
    </cfRule>
    <cfRule type="expression" dxfId="752" priority="9" stopIfTrue="1">
      <formula>AG7=Codice4</formula>
    </cfRule>
    <cfRule type="expression" dxfId="751" priority="10" stopIfTrue="1">
      <formula>AG7=Codice3</formula>
    </cfRule>
    <cfRule type="expression" dxfId="750" priority="11" stopIfTrue="1">
      <formula>AG7=Codice1</formula>
    </cfRule>
  </conditionalFormatting>
  <conditionalFormatting sqref="D7:AF11">
    <cfRule type="expression" dxfId="749" priority="1" stopIfTrue="1">
      <formula>D7=Codice2</formula>
    </cfRule>
  </conditionalFormatting>
  <conditionalFormatting sqref="D7:AF11">
    <cfRule type="expression" dxfId="748" priority="2" stopIfTrue="1">
      <formula>D7=Codice5</formula>
    </cfRule>
    <cfRule type="expression" dxfId="747" priority="3" stopIfTrue="1">
      <formula>D7=Codice4</formula>
    </cfRule>
    <cfRule type="expression" dxfId="746" priority="4" stopIfTrue="1">
      <formula>D7=Codice3</formula>
    </cfRule>
    <cfRule type="expression" dxfId="745" priority="5" stopIfTrue="1">
      <formula>D7=Codice1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EF7D5CF-EA6D-4C42-92A1-96F3633946CC}">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N345"/>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12" customWidth="1"/>
    <col min="2" max="2" width="12.42578125" style="12" bestFit="1" customWidth="1"/>
    <col min="3" max="3" width="28.85546875" style="13" customWidth="1"/>
    <col min="4"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40" s="1" customFormat="1" ht="42" customHeight="1">
      <c r="A1" s="35"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f>AnnoCalendario</f>
        <v>2012</v>
      </c>
    </row>
    <row r="2" spans="1:40" customFormat="1" ht="13.5"/>
    <row r="3" spans="1:40" s="30" customFormat="1" ht="12.75" customHeight="1">
      <c r="C3" s="42" t="str">
        <f>TestoLeggendaColori</f>
        <v xml:space="preserve">LEGGENDA COLORI </v>
      </c>
      <c r="D3" s="49" t="str">
        <f>Codice1</f>
        <v>I</v>
      </c>
      <c r="E3" s="65" t="str">
        <f>TestoCodice1</f>
        <v>In ritardo</v>
      </c>
      <c r="F3" s="57"/>
      <c r="H3" s="50" t="str">
        <f>Codice2</f>
        <v>G</v>
      </c>
      <c r="I3" s="54" t="str">
        <f>TestoCodice2</f>
        <v>Giustificato</v>
      </c>
      <c r="L3" s="51" t="str">
        <f>Codice3</f>
        <v>N</v>
      </c>
      <c r="M3" s="54" t="str">
        <f>TestoCodice3</f>
        <v>Non giustificato</v>
      </c>
      <c r="P3" s="52" t="str">
        <f>Codice4</f>
        <v>P</v>
      </c>
      <c r="Q3" s="54" t="str">
        <f>TestoCodice4</f>
        <v>Presente</v>
      </c>
      <c r="T3" s="53" t="str">
        <f>Codice5</f>
        <v>S</v>
      </c>
      <c r="U3" s="54" t="str">
        <f>TestoCodice5</f>
        <v>Scuola chiusa</v>
      </c>
      <c r="W3"/>
      <c r="X3"/>
      <c r="Y3"/>
      <c r="AD3" s="29"/>
      <c r="AE3" s="29"/>
      <c r="AH3" s="31"/>
      <c r="AI3" s="32"/>
      <c r="AK3" s="33"/>
    </row>
    <row r="4" spans="1:40" customFormat="1" ht="16.5" customHeight="1"/>
    <row r="5" spans="1:40" s="2" customFormat="1" ht="18" customHeight="1">
      <c r="B5" s="118">
        <f>DATE(AnnoCalendario,12,1)</f>
        <v>41244</v>
      </c>
      <c r="C5" s="58"/>
      <c r="D5" s="40" t="str">
        <f>TEXT(WEEKDAY(DATE(AnnoCalendario,12,1),1),"[$-410]aaa")</f>
        <v>1900</v>
      </c>
      <c r="E5" s="40" t="str">
        <f>TEXT(WEEKDAY(DATE(AnnoCalendario,12,2),1),"[$-410]aaa")</f>
        <v>1900</v>
      </c>
      <c r="F5" s="40" t="str">
        <f>TEXT(WEEKDAY(DATE(AnnoCalendario,12,3),1),"[$-410]aaa")</f>
        <v>1900</v>
      </c>
      <c r="G5" s="40" t="str">
        <f>TEXT(WEEKDAY(DATE(AnnoCalendario,12,4),1),"[$-410]aaa")</f>
        <v>1900</v>
      </c>
      <c r="H5" s="40" t="str">
        <f>TEXT(WEEKDAY(DATE(AnnoCalendario,12,5),1),"[$-410]aaa")</f>
        <v>1900</v>
      </c>
      <c r="I5" s="40" t="str">
        <f>TEXT(WEEKDAY(DATE(AnnoCalendario,12,6),1),"[$-410]aaa")</f>
        <v>1900</v>
      </c>
      <c r="J5" s="40" t="str">
        <f>TEXT(WEEKDAY(DATE(AnnoCalendario,12,7),1),"[$-410]aaa")</f>
        <v>1900</v>
      </c>
      <c r="K5" s="40" t="str">
        <f>TEXT(WEEKDAY(DATE(AnnoCalendario,12,8),1),"[$-410]aaa")</f>
        <v>1900</v>
      </c>
      <c r="L5" s="40" t="str">
        <f>TEXT(WEEKDAY(DATE(AnnoCalendario,12,9),1),"[$-410]aaa")</f>
        <v>1900</v>
      </c>
      <c r="M5" s="40" t="str">
        <f>TEXT(WEEKDAY(DATE(AnnoCalendario,12,10),1),"[$-410]aaa")</f>
        <v>1900</v>
      </c>
      <c r="N5" s="40" t="str">
        <f>TEXT(WEEKDAY(DATE(AnnoCalendario,12,11),1),"[$-410]aaa")</f>
        <v>1900</v>
      </c>
      <c r="O5" s="40" t="str">
        <f>TEXT(WEEKDAY(DATE(AnnoCalendario,12,12),1),"[$-410]aaa")</f>
        <v>1900</v>
      </c>
      <c r="P5" s="40" t="str">
        <f>TEXT(WEEKDAY(DATE(AnnoCalendario,12,13),1),"[$-410]aaa")</f>
        <v>1900</v>
      </c>
      <c r="Q5" s="40" t="str">
        <f>TEXT(WEEKDAY(DATE(AnnoCalendario,12,14),1),"[$-410]aaa")</f>
        <v>1900</v>
      </c>
      <c r="R5" s="40" t="str">
        <f>TEXT(WEEKDAY(DATE(AnnoCalendario,12,15),1),"[$-410]aaa")</f>
        <v>1900</v>
      </c>
      <c r="S5" s="40" t="str">
        <f>TEXT(WEEKDAY(DATE(AnnoCalendario,12,16),1),"[$-410]aaa")</f>
        <v>1900</v>
      </c>
      <c r="T5" s="40" t="str">
        <f>TEXT(WEEKDAY(DATE(AnnoCalendario,12,17),1),"[$-410]aaa")</f>
        <v>1900</v>
      </c>
      <c r="U5" s="40" t="str">
        <f>TEXT(WEEKDAY(DATE(AnnoCalendario,12,18),1),"[$-410]aaa")</f>
        <v>1900</v>
      </c>
      <c r="V5" s="40" t="str">
        <f>TEXT(WEEKDAY(DATE(AnnoCalendario,12,19),1),"[$-410]aaa")</f>
        <v>1900</v>
      </c>
      <c r="W5" s="40" t="str">
        <f>TEXT(WEEKDAY(DATE(AnnoCalendario,12,20),1),"[$-410]aaa")</f>
        <v>1900</v>
      </c>
      <c r="X5" s="40" t="str">
        <f>TEXT(WEEKDAY(DATE(AnnoCalendario,12,21),1),"[$-410]aaa")</f>
        <v>1900</v>
      </c>
      <c r="Y5" s="40" t="str">
        <f>TEXT(WEEKDAY(DATE(AnnoCalendario,12,22),1),"[$-410]aaa")</f>
        <v>1900</v>
      </c>
      <c r="Z5" s="40" t="str">
        <f>TEXT(WEEKDAY(DATE(AnnoCalendario,12,23),1),"[$-410]aaa")</f>
        <v>1900</v>
      </c>
      <c r="AA5" s="40" t="str">
        <f>TEXT(WEEKDAY(DATE(AnnoCalendario,12,24),1),"[$-410]aaa")</f>
        <v>1900</v>
      </c>
      <c r="AB5" s="40" t="str">
        <f>TEXT(WEEKDAY(DATE(AnnoCalendario,12,25),1),"[$-410]aaa")</f>
        <v>1900</v>
      </c>
      <c r="AC5" s="40" t="str">
        <f>TEXT(WEEKDAY(DATE(AnnoCalendario,12,26),1),"[$-410]aaa")</f>
        <v>1900</v>
      </c>
      <c r="AD5" s="40" t="str">
        <f>TEXT(WEEKDAY(DATE(AnnoCalendario,12,27),1),"[$-410]aaa")</f>
        <v>1900</v>
      </c>
      <c r="AE5" s="40" t="str">
        <f>TEXT(WEEKDAY(DATE(AnnoCalendario,12,28),1),"[$-410]aaa")</f>
        <v>1900</v>
      </c>
      <c r="AF5" s="40" t="str">
        <f>TEXT(WEEKDAY(DATE(AnnoCalendario,12,29),1),"[$-410]aaa")</f>
        <v>1900</v>
      </c>
      <c r="AG5" s="40" t="str">
        <f>TEXT(WEEKDAY(DATE(AnnoCalendario,12,30),1),"[$-410]aaa")</f>
        <v>1900</v>
      </c>
      <c r="AH5" s="40" t="str">
        <f>TEXT(WEEKDAY(DATE(AnnoCalendario,12,31),1),"[$-410]aaa")</f>
        <v>1900</v>
      </c>
      <c r="AI5" s="129" t="s">
        <v>38</v>
      </c>
      <c r="AJ5" s="130"/>
      <c r="AK5" s="130"/>
      <c r="AL5" s="130"/>
      <c r="AM5" s="131"/>
    </row>
    <row r="6" spans="1:40" s="6" customFormat="1" ht="14.25" customHeight="1">
      <c r="B6" s="43" t="s">
        <v>34</v>
      </c>
      <c r="C6" s="44"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90" t="s">
        <v>132</v>
      </c>
      <c r="AJ6" s="66" t="s">
        <v>139</v>
      </c>
      <c r="AK6" s="67" t="s">
        <v>138</v>
      </c>
      <c r="AL6" s="68" t="s">
        <v>31</v>
      </c>
      <c r="AM6" s="48" t="s">
        <v>37</v>
      </c>
      <c r="AN6" s="5"/>
    </row>
    <row r="7" spans="1:40" s="6" customFormat="1" ht="16.5" customHeight="1">
      <c r="B7" s="45"/>
      <c r="C7" s="46" t="str">
        <f>IFERROR(VLOOKUP(FrequenzaDicembre[[#This Row],[ID studente]],ElencoStudenti[],18,FALSE),"")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22"/>
      <c r="AH7" s="22"/>
      <c r="AI7" s="7">
        <f>COUNTIF(FrequenzaDicembre[[#This Row],[1]:[31]],Codice1)</f>
        <v>0</v>
      </c>
      <c r="AJ7" s="47">
        <f>COUNTIF(FrequenzaDicembre[[#This Row],[1]:[31]],Codice2)</f>
        <v>0</v>
      </c>
      <c r="AK7" s="47">
        <f>COUNTIF(FrequenzaDicembre[[#This Row],[1]:[31]],Codice3)</f>
        <v>0</v>
      </c>
      <c r="AL7" s="47">
        <f>COUNTIF(FrequenzaDicembre[[#This Row],[1]:[31]],Codice4)</f>
        <v>0</v>
      </c>
      <c r="AM7" s="7">
        <f>SUM(FrequenzaDicembre[[#This Row],[N]:[G]])</f>
        <v>0</v>
      </c>
      <c r="AN7" s="5"/>
    </row>
    <row r="8" spans="1:40" s="6" customFormat="1" ht="16.5" customHeight="1">
      <c r="B8" s="45"/>
      <c r="C8" s="46" t="str">
        <f>IFERROR(VLOOKUP(FrequenzaDicembre[[#This Row],[ID studente]],ElencoStudenti[],18,FALSE),"")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22"/>
      <c r="AH8" s="22"/>
      <c r="AI8" s="7">
        <f>COUNTIF(FrequenzaDicembre[[#This Row],[1]:[31]],Codice1)</f>
        <v>0</v>
      </c>
      <c r="AJ8" s="47">
        <f>COUNTIF(FrequenzaDicembre[[#This Row],[1]:[31]],Codice2)</f>
        <v>0</v>
      </c>
      <c r="AK8" s="47">
        <f>COUNTIF(FrequenzaDicembre[[#This Row],[1]:[31]],Codice3)</f>
        <v>0</v>
      </c>
      <c r="AL8" s="47">
        <f>COUNTIF(FrequenzaDicembre[[#This Row],[1]:[31]],Codice4)</f>
        <v>0</v>
      </c>
      <c r="AM8" s="7">
        <f>SUM(FrequenzaDicembre[[#This Row],[N]:[G]])</f>
        <v>0</v>
      </c>
      <c r="AN8" s="5"/>
    </row>
    <row r="9" spans="1:40" s="9" customFormat="1" ht="16.5" customHeight="1">
      <c r="B9" s="45"/>
      <c r="C9" s="46" t="str">
        <f>IFERROR(VLOOKUP(FrequenzaDicembre[[#This Row],[ID studente]],ElencoStudenti[],18,FALSE),"")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22"/>
      <c r="AH9" s="22"/>
      <c r="AI9" s="7">
        <f>COUNTIF(FrequenzaDicembre[[#This Row],[1]:[31]],Codice1)</f>
        <v>0</v>
      </c>
      <c r="AJ9" s="47">
        <f>COUNTIF(FrequenzaDicembre[[#This Row],[1]:[31]],Codice2)</f>
        <v>0</v>
      </c>
      <c r="AK9" s="47">
        <f>COUNTIF(FrequenzaDicembre[[#This Row],[1]:[31]],Codice3)</f>
        <v>0</v>
      </c>
      <c r="AL9" s="47">
        <f>COUNTIF(FrequenzaDicembre[[#This Row],[1]:[31]],Codice4)</f>
        <v>0</v>
      </c>
      <c r="AM9" s="7">
        <f>SUM(FrequenzaDicembre[[#This Row],[N]:[G]])</f>
        <v>0</v>
      </c>
      <c r="AN9" s="8"/>
    </row>
    <row r="10" spans="1:40" ht="16.5" customHeight="1">
      <c r="B10" s="45"/>
      <c r="C10" s="46" t="str">
        <f>IFERROR(VLOOKUP(FrequenzaDicembre[[#This Row],[ID studente]],ElencoStudenti[],18,FALSE),"")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22"/>
      <c r="AH10" s="22"/>
      <c r="AI10" s="7">
        <f>COUNTIF(FrequenzaDicembre[[#This Row],[1]:[31]],Codice1)</f>
        <v>0</v>
      </c>
      <c r="AJ10" s="47">
        <f>COUNTIF(FrequenzaDicembre[[#This Row],[1]:[31]],Codice2)</f>
        <v>0</v>
      </c>
      <c r="AK10" s="47">
        <f>COUNTIF(FrequenzaDicembre[[#This Row],[1]:[31]],Codice3)</f>
        <v>0</v>
      </c>
      <c r="AL10" s="47">
        <f>COUNTIF(FrequenzaDicembre[[#This Row],[1]:[31]],Codice4)</f>
        <v>0</v>
      </c>
      <c r="AM10" s="7">
        <f>SUM(FrequenzaDicembre[[#This Row],[N]:[G]])</f>
        <v>0</v>
      </c>
      <c r="AN10" s="11"/>
    </row>
    <row r="11" spans="1:40" ht="16.5" customHeight="1">
      <c r="B11" s="45"/>
      <c r="C11" s="46" t="str">
        <f>IFERROR(VLOOKUP(FrequenzaDicembre[[#This Row],[ID studente]],ElencoStudenti[],18,FALSE),"")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22"/>
      <c r="AH11" s="22"/>
      <c r="AI11" s="7">
        <f>COUNTIF(FrequenzaDicembre[[#This Row],[1]:[31]],Codice1)</f>
        <v>0</v>
      </c>
      <c r="AJ11" s="47">
        <f>COUNTIF(FrequenzaDicembre[[#This Row],[1]:[31]],Codice2)</f>
        <v>0</v>
      </c>
      <c r="AK11" s="47">
        <f>COUNTIF(FrequenzaDicembre[[#This Row],[1]:[31]],Codice3)</f>
        <v>0</v>
      </c>
      <c r="AL11" s="47">
        <f>COUNTIF(FrequenzaDicembre[[#This Row],[1]:[31]],Codice4)</f>
        <v>0</v>
      </c>
      <c r="AM11" s="7">
        <f>SUM(FrequenzaDicembre[[#This Row],[N]:[G]])</f>
        <v>0</v>
      </c>
      <c r="AN11" s="11"/>
    </row>
    <row r="12" spans="1:40" ht="16.5" customHeight="1">
      <c r="B12" s="112"/>
      <c r="C12" s="4" t="s">
        <v>114</v>
      </c>
      <c r="D12" s="112">
        <f>COUNTIF(FrequenzaDicembre[1],"N")+COUNTIF(FrequenzaDicembre[1],"G")</f>
        <v>0</v>
      </c>
      <c r="E12" s="112">
        <f>COUNTIF(FrequenzaDicembre[2],"N")+COUNTIF(FrequenzaDicembre[2],"G")</f>
        <v>0</v>
      </c>
      <c r="F12" s="112">
        <f>COUNTIF(FrequenzaDicembre[3],"N")+COUNTIF(FrequenzaDicembre[3],"G")</f>
        <v>0</v>
      </c>
      <c r="G12" s="112">
        <f>COUNTIF(FrequenzaDicembre[4],"N")+COUNTIF(FrequenzaDicembre[4],"G")</f>
        <v>0</v>
      </c>
      <c r="H12" s="112">
        <f>COUNTIF(FrequenzaDicembre[5],"N")+COUNTIF(FrequenzaDicembre[5],"G")</f>
        <v>0</v>
      </c>
      <c r="I12" s="112">
        <f>COUNTIF(FrequenzaDicembre[6],"N")+COUNTIF(FrequenzaDicembre[6],"G")</f>
        <v>0</v>
      </c>
      <c r="J12" s="112">
        <f>COUNTIF(FrequenzaDicembre[7],"N")+COUNTIF(FrequenzaDicembre[7],"G")</f>
        <v>0</v>
      </c>
      <c r="K12" s="112">
        <f>COUNTIF(FrequenzaDicembre[8],"N")+COUNTIF(FrequenzaDicembre[8],"G")</f>
        <v>0</v>
      </c>
      <c r="L12" s="112">
        <f>COUNTIF(FrequenzaDicembre[9],"N")+COUNTIF(FrequenzaDicembre[9],"G")</f>
        <v>0</v>
      </c>
      <c r="M12" s="112">
        <f>COUNTIF(FrequenzaDicembre[10],"N")+COUNTIF(FrequenzaDicembre[10],"G")</f>
        <v>0</v>
      </c>
      <c r="N12" s="112">
        <f>COUNTIF(FrequenzaDicembre[11],"N")+COUNTIF(FrequenzaDicembre[11],"G")</f>
        <v>0</v>
      </c>
      <c r="O12" s="112">
        <f>COUNTIF(FrequenzaDicembre[12],"N")+COUNTIF(FrequenzaDicembre[12],"G")</f>
        <v>0</v>
      </c>
      <c r="P12" s="112">
        <f>COUNTIF(FrequenzaDicembre[13],"N")+COUNTIF(FrequenzaDicembre[13],"G")</f>
        <v>0</v>
      </c>
      <c r="Q12" s="112">
        <f>COUNTIF(FrequenzaDicembre[14],"N")+COUNTIF(FrequenzaDicembre[14],"G")</f>
        <v>0</v>
      </c>
      <c r="R12" s="112">
        <f>COUNTIF(FrequenzaDicembre[15],"N")+COUNTIF(FrequenzaDicembre[15],"G")</f>
        <v>0</v>
      </c>
      <c r="S12" s="112">
        <f>COUNTIF(FrequenzaDicembre[16],"N")+COUNTIF(FrequenzaDicembre[16],"G")</f>
        <v>0</v>
      </c>
      <c r="T12" s="112">
        <f>COUNTIF(FrequenzaDicembre[17],"N")+COUNTIF(FrequenzaDicembre[17],"G")</f>
        <v>0</v>
      </c>
      <c r="U12" s="112">
        <f>COUNTIF(FrequenzaDicembre[18],"N")+COUNTIF(FrequenzaDicembre[18],"G")</f>
        <v>0</v>
      </c>
      <c r="V12" s="112">
        <f>COUNTIF(FrequenzaDicembre[19],"N")+COUNTIF(FrequenzaDicembre[19],"G")</f>
        <v>0</v>
      </c>
      <c r="W12" s="112">
        <f>COUNTIF(FrequenzaDicembre[20],"N")+COUNTIF(FrequenzaDicembre[20],"G")</f>
        <v>0</v>
      </c>
      <c r="X12" s="112">
        <f>COUNTIF(FrequenzaDicembre[21],"N")+COUNTIF(FrequenzaDicembre[21],"G")</f>
        <v>0</v>
      </c>
      <c r="Y12" s="112">
        <f>COUNTIF(FrequenzaDicembre[22],"N")+COUNTIF(FrequenzaDicembre[22],"G")</f>
        <v>0</v>
      </c>
      <c r="Z12" s="112">
        <f>COUNTIF(FrequenzaDicembre[23],"N")+COUNTIF(FrequenzaDicembre[23],"G")</f>
        <v>0</v>
      </c>
      <c r="AA12" s="112">
        <f>COUNTIF(FrequenzaDicembre[24],"N")+COUNTIF(FrequenzaDicembre[24],"G")</f>
        <v>0</v>
      </c>
      <c r="AB12" s="112">
        <f>COUNTIF(FrequenzaDicembre[25],"N")+COUNTIF(FrequenzaDicembre[25],"G")</f>
        <v>0</v>
      </c>
      <c r="AC12" s="112">
        <f>COUNTIF(FrequenzaDicembre[26],"N")+COUNTIF(FrequenzaDicembre[26],"G")</f>
        <v>0</v>
      </c>
      <c r="AD12" s="112">
        <f>COUNTIF(FrequenzaDicembre[27],"N")+COUNTIF(FrequenzaDicembre[27],"G")</f>
        <v>0</v>
      </c>
      <c r="AE12" s="112">
        <f>COUNTIF(FrequenzaDicembre[28],"N")+COUNTIF(FrequenzaDicembre[28],"G")</f>
        <v>0</v>
      </c>
      <c r="AF12" s="112">
        <f>COUNTIF(FrequenzaDicembre[29],"N")+COUNTIF(FrequenzaDicembre[29],"G")</f>
        <v>0</v>
      </c>
      <c r="AG12" s="112">
        <f>COUNTIF(FrequenzaDicembre[30],"N")+COUNTIF(FrequenzaDicembre[30],"G")</f>
        <v>0</v>
      </c>
      <c r="AH12" s="112">
        <f>COUNTIF(FrequenzaDicembre[31],"N")+COUNTIF(FrequenzaDicembre[31],"G")</f>
        <v>0</v>
      </c>
      <c r="AI12" s="112">
        <f>SUBTOTAL(109,FrequenzaDicembre[I])</f>
        <v>0</v>
      </c>
      <c r="AJ12" s="112">
        <f>SUBTOTAL(109,FrequenzaDicembre[N])</f>
        <v>0</v>
      </c>
      <c r="AK12" s="112">
        <f>SUBTOTAL(109,FrequenzaDicembre[G])</f>
        <v>0</v>
      </c>
      <c r="AL12" s="112">
        <f>SUBTOTAL(109,FrequenzaDicembre[P])</f>
        <v>0</v>
      </c>
      <c r="AM12" s="112">
        <f>SUBTOTAL(109,FrequenzaDicembre[Giorni di assenza])</f>
        <v>0</v>
      </c>
    </row>
    <row r="13" spans="1:40" ht="16.5" customHeight="1"/>
    <row r="14" spans="1:40" ht="16.5" customHeight="1"/>
    <row r="15" spans="1:40" ht="16.5" customHeight="1"/>
    <row r="16" spans="1:40"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AM7:AM11">
    <cfRule type="dataBar" priority="6">
      <dataBar>
        <cfvo type="min"/>
        <cfvo type="num" val="31"/>
        <color theme="4"/>
      </dataBar>
      <extLst>
        <ext xmlns:x14="http://schemas.microsoft.com/office/spreadsheetml/2009/9/main" uri="{B025F937-C7B1-47D3-B67F-A62EFF666E3E}">
          <x14:id>{F1B3F415-3C3C-4616-B9AA-9BBD8C09A1CE}</x14:id>
        </ext>
      </extLst>
    </cfRule>
  </conditionalFormatting>
  <conditionalFormatting sqref="AG7:AI11">
    <cfRule type="expression" dxfId="671" priority="7" stopIfTrue="1">
      <formula>AG7=Codice2</formula>
    </cfRule>
  </conditionalFormatting>
  <conditionalFormatting sqref="AG7:AH11">
    <cfRule type="expression" dxfId="670" priority="8" stopIfTrue="1">
      <formula>AG7=Codice5</formula>
    </cfRule>
    <cfRule type="expression" dxfId="669" priority="9" stopIfTrue="1">
      <formula>AG7=Codice4</formula>
    </cfRule>
    <cfRule type="expression" dxfId="668" priority="10" stopIfTrue="1">
      <formula>AG7=Codice3</formula>
    </cfRule>
    <cfRule type="expression" dxfId="667" priority="11" stopIfTrue="1">
      <formula>AG7=Codice1</formula>
    </cfRule>
  </conditionalFormatting>
  <conditionalFormatting sqref="D7:AF11">
    <cfRule type="expression" dxfId="666" priority="1" stopIfTrue="1">
      <formula>D7=Codice2</formula>
    </cfRule>
  </conditionalFormatting>
  <conditionalFormatting sqref="D7:AF11">
    <cfRule type="expression" dxfId="665" priority="2" stopIfTrue="1">
      <formula>D7=Codice5</formula>
    </cfRule>
    <cfRule type="expression" dxfId="664" priority="3" stopIfTrue="1">
      <formula>D7=Codice4</formula>
    </cfRule>
    <cfRule type="expression" dxfId="663" priority="4" stopIfTrue="1">
      <formula>D7=Codice3</formula>
    </cfRule>
    <cfRule type="expression" dxfId="662" priority="5" stopIfTrue="1">
      <formula>D7=Codice1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B3F415-3C3C-4616-B9AA-9BBD8C09A1CE}">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M263"/>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12" customWidth="1"/>
    <col min="2" max="2" width="12.42578125" style="12" bestFit="1" customWidth="1"/>
    <col min="3" max="3" width="28.85546875" style="13" customWidth="1"/>
    <col min="4"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39" s="1" customFormat="1" ht="42" customHeight="1">
      <c r="A1" s="35"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f>AnnoCalendario</f>
        <v>2012</v>
      </c>
    </row>
    <row r="2" spans="1:39" customFormat="1" ht="13.5"/>
    <row r="3" spans="1:39" s="30" customFormat="1" ht="12.75" customHeight="1">
      <c r="C3" s="42" t="str">
        <f>TestoLeggendaColori</f>
        <v xml:space="preserve">LEGGENDA COLORI </v>
      </c>
      <c r="D3" s="49" t="str">
        <f>Codice1</f>
        <v>I</v>
      </c>
      <c r="E3" s="65" t="str">
        <f>TestoCodice1</f>
        <v>In ritardo</v>
      </c>
      <c r="F3" s="57"/>
      <c r="H3" s="50" t="str">
        <f>Codice2</f>
        <v>G</v>
      </c>
      <c r="I3" s="54" t="str">
        <f>TestoCodice2</f>
        <v>Giustificato</v>
      </c>
      <c r="L3" s="51" t="str">
        <f>Codice3</f>
        <v>N</v>
      </c>
      <c r="M3" s="54" t="str">
        <f>TestoCodice3</f>
        <v>Non giustificato</v>
      </c>
      <c r="P3" s="52" t="str">
        <f>Codice4</f>
        <v>P</v>
      </c>
      <c r="Q3" s="54" t="str">
        <f>TestoCodice4</f>
        <v>Presente</v>
      </c>
      <c r="T3" s="53" t="str">
        <f>Codice5</f>
        <v>S</v>
      </c>
      <c r="U3" s="54" t="str">
        <f>TestoCodice5</f>
        <v>Scuola chiusa</v>
      </c>
      <c r="W3"/>
      <c r="X3"/>
      <c r="Y3"/>
      <c r="AD3" s="29"/>
      <c r="AE3" s="29"/>
      <c r="AH3" s="31"/>
      <c r="AI3" s="32"/>
      <c r="AK3" s="33"/>
    </row>
    <row r="4" spans="1:39" customFormat="1" ht="16.5" customHeight="1"/>
    <row r="5" spans="1:39" s="2" customFormat="1" ht="18" customHeight="1">
      <c r="B5" s="118">
        <f>DATE(AnnoCalendario+1,1,1)</f>
        <v>41275</v>
      </c>
      <c r="C5" s="58"/>
      <c r="D5" s="40" t="str">
        <f>TEXT(WEEKDAY(DATE(AnnoCalendario+1,1,1),1),"[$-410]aaa")</f>
        <v>1900</v>
      </c>
      <c r="E5" s="40" t="str">
        <f>TEXT(WEEKDAY(DATE(AnnoCalendario+1,1,2),1),"[$-410]aaa")</f>
        <v>1900</v>
      </c>
      <c r="F5" s="40" t="str">
        <f>TEXT(WEEKDAY(DATE(AnnoCalendario+1,1,3),1),"[$-410]aaa")</f>
        <v>1900</v>
      </c>
      <c r="G5" s="40" t="str">
        <f>TEXT(WEEKDAY(DATE(AnnoCalendario+1,1,4),1),"[$-410]aaa")</f>
        <v>1900</v>
      </c>
      <c r="H5" s="40" t="str">
        <f>TEXT(WEEKDAY(DATE(AnnoCalendario+1,1,5),1),"[$-410]aaa")</f>
        <v>1900</v>
      </c>
      <c r="I5" s="40" t="str">
        <f>TEXT(WEEKDAY(DATE(AnnoCalendario+1,1,6),1),"[$-410]aaa")</f>
        <v>1900</v>
      </c>
      <c r="J5" s="40" t="str">
        <f>TEXT(WEEKDAY(DATE(AnnoCalendario+1,1,7),1),"[$-410]aaa")</f>
        <v>1900</v>
      </c>
      <c r="K5" s="40" t="str">
        <f>TEXT(WEEKDAY(DATE(AnnoCalendario+1,1,8),1),"[$-410]aaa")</f>
        <v>1900</v>
      </c>
      <c r="L5" s="40" t="str">
        <f>TEXT(WEEKDAY(DATE(AnnoCalendario+1,1,9),1),"[$-410]aaa")</f>
        <v>1900</v>
      </c>
      <c r="M5" s="40" t="str">
        <f>TEXT(WEEKDAY(DATE(AnnoCalendario+1,1,10),1),"[$-410]aaa")</f>
        <v>1900</v>
      </c>
      <c r="N5" s="40" t="str">
        <f>TEXT(WEEKDAY(DATE(AnnoCalendario+1,1,11),1),"[$-410]aaa")</f>
        <v>1900</v>
      </c>
      <c r="O5" s="40" t="str">
        <f>TEXT(WEEKDAY(DATE(AnnoCalendario+1,1,12),1),"[$-410]aaa")</f>
        <v>1900</v>
      </c>
      <c r="P5" s="40" t="str">
        <f>TEXT(WEEKDAY(DATE(AnnoCalendario+1,1,13),1),"[$-410]aaa")</f>
        <v>1900</v>
      </c>
      <c r="Q5" s="40" t="str">
        <f>TEXT(WEEKDAY(DATE(AnnoCalendario+1,1,14),1),"[$-410]aaa")</f>
        <v>1900</v>
      </c>
      <c r="R5" s="40" t="str">
        <f>TEXT(WEEKDAY(DATE(AnnoCalendario+1,1,15),1),"[$-410]aaa")</f>
        <v>1900</v>
      </c>
      <c r="S5" s="40" t="str">
        <f>TEXT(WEEKDAY(DATE(AnnoCalendario+1,1,16),1),"[$-410]aaa")</f>
        <v>1900</v>
      </c>
      <c r="T5" s="40" t="str">
        <f>TEXT(WEEKDAY(DATE(AnnoCalendario+1,1,17),1),"[$-410]aaa")</f>
        <v>1900</v>
      </c>
      <c r="U5" s="40" t="str">
        <f>TEXT(WEEKDAY(DATE(AnnoCalendario+1,1,18),1),"[$-410]aaa")</f>
        <v>1900</v>
      </c>
      <c r="V5" s="40" t="str">
        <f>TEXT(WEEKDAY(DATE(AnnoCalendario+1,1,19),1),"[$-410]aaa")</f>
        <v>1900</v>
      </c>
      <c r="W5" s="40" t="str">
        <f>TEXT(WEEKDAY(DATE(AnnoCalendario+1,1,20),1),"[$-410]aaa")</f>
        <v>1900</v>
      </c>
      <c r="X5" s="40" t="str">
        <f>TEXT(WEEKDAY(DATE(AnnoCalendario+1,1,21),1),"[$-410]aaa")</f>
        <v>1900</v>
      </c>
      <c r="Y5" s="40" t="str">
        <f>TEXT(WEEKDAY(DATE(AnnoCalendario+1,1,22),1),"[$-410]aaa")</f>
        <v>1900</v>
      </c>
      <c r="Z5" s="40" t="str">
        <f>TEXT(WEEKDAY(DATE(AnnoCalendario+1,1,23),1),"[$-410]aaa")</f>
        <v>1900</v>
      </c>
      <c r="AA5" s="40" t="str">
        <f>TEXT(WEEKDAY(DATE(AnnoCalendario+1,1,24),1),"[$-410]aaa")</f>
        <v>1900</v>
      </c>
      <c r="AB5" s="40" t="str">
        <f>TEXT(WEEKDAY(DATE(AnnoCalendario+1,1,25),1),"[$-410]aaa")</f>
        <v>1900</v>
      </c>
      <c r="AC5" s="40" t="str">
        <f>TEXT(WEEKDAY(DATE(AnnoCalendario+1,1,26),1),"[$-410]aaa")</f>
        <v>1900</v>
      </c>
      <c r="AD5" s="40" t="str">
        <f>TEXT(WEEKDAY(DATE(AnnoCalendario+1,1,27),1),"[$-410]aaa")</f>
        <v>1900</v>
      </c>
      <c r="AE5" s="40" t="str">
        <f>TEXT(WEEKDAY(DATE(AnnoCalendario+1,1,28),1),"[$-410]aaa")</f>
        <v>1900</v>
      </c>
      <c r="AF5" s="40" t="str">
        <f>TEXT(WEEKDAY(DATE(AnnoCalendario+1,1,29),1),"[$-410]aaa")</f>
        <v>1900</v>
      </c>
      <c r="AG5" s="40" t="str">
        <f>TEXT(WEEKDAY(DATE(AnnoCalendario+1,1,30),1),"[$-410]aaa")</f>
        <v>1900</v>
      </c>
      <c r="AH5" s="40" t="str">
        <f>TEXT(WEEKDAY(DATE(AnnoCalendario+1,1,31),1),"[$-410]aaa")</f>
        <v>1900</v>
      </c>
      <c r="AI5" s="132" t="s">
        <v>38</v>
      </c>
      <c r="AJ5" s="132"/>
      <c r="AK5" s="132"/>
      <c r="AL5" s="132"/>
      <c r="AM5" s="132"/>
    </row>
    <row r="6" spans="1:39" ht="14.25" customHeight="1">
      <c r="B6" s="26" t="s">
        <v>34</v>
      </c>
      <c r="C6" s="27" t="s">
        <v>36</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30</v>
      </c>
      <c r="AI6" s="90" t="s">
        <v>132</v>
      </c>
      <c r="AJ6" s="66" t="s">
        <v>139</v>
      </c>
      <c r="AK6" s="67" t="s">
        <v>138</v>
      </c>
      <c r="AL6" s="68" t="s">
        <v>31</v>
      </c>
      <c r="AM6" t="s">
        <v>37</v>
      </c>
    </row>
    <row r="7" spans="1:39" ht="16.5" customHeight="1">
      <c r="B7" s="25"/>
      <c r="C7" s="21" t="str">
        <f>IFERROR(VLOOKUP(FrequenzaGennaio[[#This Row],[ID studente]],ElencoStudenti[],18,FALSE),"")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4">
        <f>COUNTIF(FrequenzaGennaio[[#This Row],[1]:[31]],Codice1)</f>
        <v>0</v>
      </c>
      <c r="AJ7" s="34">
        <f>COUNTIF(FrequenzaGennaio[[#This Row],[1]:[31]],Codice2)</f>
        <v>0</v>
      </c>
      <c r="AK7" s="34">
        <f>COUNTIF(FrequenzaGennaio[[#This Row],[1]:[31]],Codice3)</f>
        <v>0</v>
      </c>
      <c r="AL7" s="34">
        <f>COUNTIF(FrequenzaGennaio[[#This Row],[1]:[31]],Codice4)</f>
        <v>0</v>
      </c>
      <c r="AM7" s="7">
        <f>SUM(FrequenzaGennaio[[#This Row],[N]:[G]])</f>
        <v>0</v>
      </c>
    </row>
    <row r="8" spans="1:39" ht="16.5" customHeight="1">
      <c r="B8" s="25"/>
      <c r="C8" s="21" t="str">
        <f>IFERROR(VLOOKUP(FrequenzaGennaio[[#This Row],[ID studente]],ElencoStudenti[],18,FALSE),"")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4">
        <f>COUNTIF(FrequenzaGennaio[[#This Row],[1]:[31]],Codice1)</f>
        <v>0</v>
      </c>
      <c r="AJ8" s="34">
        <f>COUNTIF(FrequenzaGennaio[[#This Row],[1]:[31]],Codice2)</f>
        <v>0</v>
      </c>
      <c r="AK8" s="34">
        <f>COUNTIF(FrequenzaGennaio[[#This Row],[1]:[31]],Codice3)</f>
        <v>0</v>
      </c>
      <c r="AL8" s="34">
        <f>COUNTIF(FrequenzaGennaio[[#This Row],[1]:[31]],Codice4)</f>
        <v>0</v>
      </c>
      <c r="AM8" s="7">
        <f>SUM(FrequenzaGennaio[[#This Row],[N]:[G]])</f>
        <v>0</v>
      </c>
    </row>
    <row r="9" spans="1:39" ht="16.5" customHeight="1">
      <c r="B9" s="25"/>
      <c r="C9" s="21" t="str">
        <f>IFERROR(VLOOKUP(FrequenzaGennaio[[#This Row],[ID studente]],ElencoStudenti[],18,FALSE),"")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4">
        <f>COUNTIF(FrequenzaGennaio[[#This Row],[1]:[31]],Codice1)</f>
        <v>0</v>
      </c>
      <c r="AJ9" s="34">
        <f>COUNTIF(FrequenzaGennaio[[#This Row],[1]:[31]],Codice2)</f>
        <v>0</v>
      </c>
      <c r="AK9" s="34">
        <f>COUNTIF(FrequenzaGennaio[[#This Row],[1]:[31]],Codice3)</f>
        <v>0</v>
      </c>
      <c r="AL9" s="34">
        <f>COUNTIF(FrequenzaGennaio[[#This Row],[1]:[31]],Codice4)</f>
        <v>0</v>
      </c>
      <c r="AM9" s="7">
        <f>SUM(FrequenzaGennaio[[#This Row],[N]:[G]])</f>
        <v>0</v>
      </c>
    </row>
    <row r="10" spans="1:39" ht="16.5" customHeight="1">
      <c r="B10" s="25"/>
      <c r="C10" s="21" t="str">
        <f>IFERROR(VLOOKUP(FrequenzaGennaio[[#This Row],[ID studente]],ElencoStudenti[],18,FALSE),"")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4">
        <f>COUNTIF(FrequenzaGennaio[[#This Row],[1]:[31]],Codice1)</f>
        <v>0</v>
      </c>
      <c r="AJ10" s="34">
        <f>COUNTIF(FrequenzaGennaio[[#This Row],[1]:[31]],Codice2)</f>
        <v>0</v>
      </c>
      <c r="AK10" s="34">
        <f>COUNTIF(FrequenzaGennaio[[#This Row],[1]:[31]],Codice3)</f>
        <v>0</v>
      </c>
      <c r="AL10" s="34">
        <f>COUNTIF(FrequenzaGennaio[[#This Row],[1]:[31]],Codice4)</f>
        <v>0</v>
      </c>
      <c r="AM10" s="7">
        <f>SUM(FrequenzaGennaio[[#This Row],[N]:[G]])</f>
        <v>0</v>
      </c>
    </row>
    <row r="11" spans="1:39" ht="16.5" customHeight="1">
      <c r="B11" s="25"/>
      <c r="C11" s="21" t="str">
        <f>IFERROR(VLOOKUP(FrequenzaGennaio[[#This Row],[ID studente]],ElencoStudenti[],18,FALSE),"")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4">
        <f>COUNTIF(FrequenzaGennaio[[#This Row],[1]:[31]],Codice1)</f>
        <v>0</v>
      </c>
      <c r="AJ11" s="34">
        <f>COUNTIF(FrequenzaGennaio[[#This Row],[1]:[31]],Codice2)</f>
        <v>0</v>
      </c>
      <c r="AK11" s="34">
        <f>COUNTIF(FrequenzaGennaio[[#This Row],[1]:[31]],Codice3)</f>
        <v>0</v>
      </c>
      <c r="AL11" s="34">
        <f>COUNTIF(FrequenzaGennaio[[#This Row],[1]:[31]],Codice4)</f>
        <v>0</v>
      </c>
      <c r="AM11" s="7">
        <f>SUM(FrequenzaGennaio[[#This Row],[N]:[G]])</f>
        <v>0</v>
      </c>
    </row>
    <row r="12" spans="1:39" ht="16.5" customHeight="1">
      <c r="B12" s="115"/>
      <c r="C12" s="117" t="s">
        <v>114</v>
      </c>
      <c r="D12" s="115">
        <f>COUNTIF(FrequenzaGennaio[1],"N")+COUNTIF(FrequenzaGennaio[1],"G")</f>
        <v>0</v>
      </c>
      <c r="E12" s="115">
        <f>COUNTIF(FrequenzaGennaio[2],"N")+COUNTIF(FrequenzaGennaio[2],"G")</f>
        <v>0</v>
      </c>
      <c r="F12" s="115">
        <f>COUNTIF(FrequenzaGennaio[3],"N")+COUNTIF(FrequenzaGennaio[3],"G")</f>
        <v>0</v>
      </c>
      <c r="G12" s="115">
        <f>COUNTIF(FrequenzaGennaio[4],"N")+COUNTIF(FrequenzaGennaio[4],"G")</f>
        <v>0</v>
      </c>
      <c r="H12" s="115">
        <f>COUNTIF(FrequenzaGennaio[5],"N")+COUNTIF(FrequenzaGennaio[5],"G")</f>
        <v>0</v>
      </c>
      <c r="I12" s="115">
        <f>COUNTIF(FrequenzaGennaio[6],"N")+COUNTIF(FrequenzaGennaio[6],"G")</f>
        <v>0</v>
      </c>
      <c r="J12" s="115">
        <f>COUNTIF(FrequenzaGennaio[7],"N")+COUNTIF(FrequenzaGennaio[7],"G")</f>
        <v>0</v>
      </c>
      <c r="K12" s="115">
        <f>COUNTIF(FrequenzaGennaio[8],"N")+COUNTIF(FrequenzaGennaio[8],"G")</f>
        <v>0</v>
      </c>
      <c r="L12" s="115">
        <f>COUNTIF(FrequenzaGennaio[9],"N")+COUNTIF(FrequenzaGennaio[9],"G")</f>
        <v>0</v>
      </c>
      <c r="M12" s="115">
        <f>COUNTIF(FrequenzaGennaio[10],"N")+COUNTIF(FrequenzaGennaio[10],"G")</f>
        <v>0</v>
      </c>
      <c r="N12" s="115">
        <f>COUNTIF(FrequenzaGennaio[11],"N")+COUNTIF(FrequenzaGennaio[11],"G")</f>
        <v>0</v>
      </c>
      <c r="O12" s="115">
        <f>COUNTIF(FrequenzaGennaio[12],"N")+COUNTIF(FrequenzaGennaio[12],"G")</f>
        <v>0</v>
      </c>
      <c r="P12" s="115">
        <f>COUNTIF(FrequenzaGennaio[13],"N")+COUNTIF(FrequenzaGennaio[13],"G")</f>
        <v>0</v>
      </c>
      <c r="Q12" s="115">
        <f>COUNTIF(FrequenzaGennaio[14],"N")+COUNTIF(FrequenzaGennaio[14],"G")</f>
        <v>0</v>
      </c>
      <c r="R12" s="115">
        <f>COUNTIF(FrequenzaGennaio[15],"N")+COUNTIF(FrequenzaGennaio[15],"G")</f>
        <v>0</v>
      </c>
      <c r="S12" s="115">
        <f>COUNTIF(FrequenzaGennaio[16],"N")+COUNTIF(FrequenzaGennaio[16],"G")</f>
        <v>0</v>
      </c>
      <c r="T12" s="115">
        <f>COUNTIF(FrequenzaGennaio[17],"N")+COUNTIF(FrequenzaGennaio[17],"G")</f>
        <v>0</v>
      </c>
      <c r="U12" s="115">
        <f>COUNTIF(FrequenzaGennaio[18],"N")+COUNTIF(FrequenzaGennaio[18],"G")</f>
        <v>0</v>
      </c>
      <c r="V12" s="115">
        <f>COUNTIF(FrequenzaGennaio[19],"N")+COUNTIF(FrequenzaGennaio[19],"G")</f>
        <v>0</v>
      </c>
      <c r="W12" s="115">
        <f>COUNTIF(FrequenzaGennaio[20],"N")+COUNTIF(FrequenzaGennaio[20],"G")</f>
        <v>0</v>
      </c>
      <c r="X12" s="115">
        <f>COUNTIF(FrequenzaGennaio[21],"N")+COUNTIF(FrequenzaGennaio[21],"G")</f>
        <v>0</v>
      </c>
      <c r="Y12" s="115">
        <f>COUNTIF(FrequenzaGennaio[22],"N")+COUNTIF(FrequenzaGennaio[22],"G")</f>
        <v>0</v>
      </c>
      <c r="Z12" s="115">
        <f>COUNTIF(FrequenzaGennaio[23],"N")+COUNTIF(FrequenzaGennaio[23],"G")</f>
        <v>0</v>
      </c>
      <c r="AA12" s="115">
        <f>COUNTIF(FrequenzaGennaio[24],"N")+COUNTIF(FrequenzaGennaio[24],"G")</f>
        <v>0</v>
      </c>
      <c r="AB12" s="115">
        <f>COUNTIF(FrequenzaGennaio[25],"N")+COUNTIF(FrequenzaGennaio[25],"G")</f>
        <v>0</v>
      </c>
      <c r="AC12" s="115">
        <f>COUNTIF(FrequenzaGennaio[26],"N")+COUNTIF(FrequenzaGennaio[26],"G")</f>
        <v>0</v>
      </c>
      <c r="AD12" s="115">
        <f>COUNTIF(FrequenzaGennaio[27],"N")+COUNTIF(FrequenzaGennaio[27],"G")</f>
        <v>0</v>
      </c>
      <c r="AE12" s="115">
        <f>COUNTIF(FrequenzaGennaio[28],"N")+COUNTIF(FrequenzaGennaio[28],"G")</f>
        <v>0</v>
      </c>
      <c r="AF12" s="115">
        <f>COUNTIF(FrequenzaGennaio[29],"N")+COUNTIF(FrequenzaGennaio[29],"G")</f>
        <v>0</v>
      </c>
      <c r="AG12" s="115">
        <f>COUNTIF(FrequenzaGennaio[30],"N")+COUNTIF(FrequenzaGennaio[30],"G")</f>
        <v>0</v>
      </c>
      <c r="AH12" s="115">
        <f>COUNTIF(FrequenzaGennaio[31],"N")+COUNTIF(FrequenzaGennaio[31],"G")</f>
        <v>0</v>
      </c>
      <c r="AI12" s="115">
        <f>SUBTOTAL(109,FrequenzaGennaio[I])</f>
        <v>0</v>
      </c>
      <c r="AJ12" s="115">
        <f>SUBTOTAL(109,FrequenzaGennaio[N])</f>
        <v>0</v>
      </c>
      <c r="AK12" s="115">
        <f>SUBTOTAL(109,FrequenzaGennaio[G])</f>
        <v>0</v>
      </c>
      <c r="AL12" s="115">
        <f>SUBTOTAL(109,FrequenzaGennaio[P])</f>
        <v>0</v>
      </c>
      <c r="AM12" s="115">
        <f>SUBTOTAL(109,FrequenzaGennaio[Giorni di assenza])</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AM7:AM11">
    <cfRule type="dataBar" priority="3">
      <dataBar>
        <cfvo type="min"/>
        <cfvo type="num" val="DATEDIF(DATE(AnnoCalendario,2,1),DATE(AnnoCalendario,3,1),&quot;d&quot;)"/>
        <color theme="4"/>
      </dataBar>
      <extLst>
        <ext xmlns:x14="http://schemas.microsoft.com/office/spreadsheetml/2009/9/main" uri="{B025F937-C7B1-47D3-B67F-A62EFF666E3E}">
          <x14:id>{14404821-1BA2-401A-A36D-E7C5CA142FF7}</x14:id>
        </ext>
      </extLst>
    </cfRule>
  </conditionalFormatting>
  <conditionalFormatting sqref="D7:AF11">
    <cfRule type="expression" dxfId="588" priority="4" stopIfTrue="1">
      <formula>D7=Codice2</formula>
    </cfRule>
  </conditionalFormatting>
  <conditionalFormatting sqref="D7:AF11">
    <cfRule type="expression" dxfId="587" priority="5" stopIfTrue="1">
      <formula>D7=Codice5</formula>
    </cfRule>
    <cfRule type="expression" dxfId="586" priority="6" stopIfTrue="1">
      <formula>D7=Codice4</formula>
    </cfRule>
    <cfRule type="expression" dxfId="585" priority="7" stopIfTrue="1">
      <formula>D7=Codice3</formula>
    </cfRule>
    <cfRule type="expression" dxfId="584" priority="8" stopIfTrue="1">
      <formula>D7=Codice1</formula>
    </cfRule>
  </conditionalFormatting>
  <dataValidations disablePrompts="1"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4404821-1BA2-401A-A36D-E7C5CA142FF7}">
            <x14:dataBar minLength="0" maxLength="100" border="1" negativeBarBorderColorSameAsPositive="0">
              <x14:cfvo type="autoMin"/>
              <x14:cfvo type="num">
                <xm:f>DATEDIF(DATE(AnnoCalendario,2,1),DATE(AnnoCalendario,3,1),"d")</xm:f>
              </x14:cfvo>
              <x14:borderColor theme="4"/>
              <x14:negativeFillColor rgb="FFFF0000"/>
              <x14:negativeBorderColor rgb="FFFF0000"/>
              <x14:axisColor rgb="FF000000"/>
            </x14:dataBar>
          </x14:cfRule>
          <xm:sqref>AM7:AM11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12" customWidth="1"/>
    <col min="2" max="2" width="12.42578125" style="12" bestFit="1" customWidth="1"/>
    <col min="3" max="3" width="29.140625" style="13" customWidth="1"/>
    <col min="4" max="34" width="5" style="11" customWidth="1"/>
    <col min="35" max="35" width="4.7109375" style="10" customWidth="1"/>
    <col min="36" max="36" width="4.7109375" style="11" customWidth="1"/>
    <col min="37" max="38" width="4.7109375" style="12" customWidth="1"/>
    <col min="39" max="39" width="18" style="12" bestFit="1" customWidth="1"/>
    <col min="40" max="16384" width="9.140625" style="12"/>
  </cols>
  <sheetData>
    <row r="1" spans="1:39" s="1" customFormat="1" ht="42" customHeight="1">
      <c r="A1" s="35" t="s">
        <v>85</v>
      </c>
      <c r="B1" s="36"/>
      <c r="C1" s="36"/>
      <c r="D1" s="37"/>
      <c r="E1" s="37"/>
      <c r="F1" s="37"/>
      <c r="G1" s="37"/>
      <c r="H1" s="37"/>
      <c r="I1" s="37"/>
      <c r="J1" s="37"/>
      <c r="K1" s="37"/>
      <c r="L1" s="37"/>
      <c r="M1" s="37"/>
      <c r="N1" s="37"/>
      <c r="O1" s="37"/>
      <c r="P1" s="37"/>
      <c r="Q1" s="37"/>
      <c r="R1" s="37"/>
      <c r="S1" s="37"/>
      <c r="T1" s="37"/>
      <c r="U1" s="37"/>
      <c r="V1" s="37"/>
      <c r="W1" s="37"/>
      <c r="X1" s="37"/>
      <c r="Y1" s="37"/>
      <c r="Z1" s="37"/>
      <c r="AA1" s="37"/>
      <c r="AB1" s="37"/>
      <c r="AC1" s="36"/>
      <c r="AD1" s="36"/>
      <c r="AE1" s="36"/>
      <c r="AF1" s="36"/>
      <c r="AG1" s="38"/>
      <c r="AH1" s="36"/>
      <c r="AI1" s="36"/>
      <c r="AJ1" s="39"/>
      <c r="AK1" s="36"/>
      <c r="AL1" s="55" t="s">
        <v>68</v>
      </c>
      <c r="AM1" s="56">
        <f>AnnoCalendario</f>
        <v>2012</v>
      </c>
    </row>
    <row r="2" spans="1:39" customFormat="1" ht="13.5"/>
    <row r="3" spans="1:39" s="30" customFormat="1" ht="12.75" customHeight="1">
      <c r="C3" s="42" t="str">
        <f>TestoLeggendaColori</f>
        <v xml:space="preserve">LEGGENDA COLORI </v>
      </c>
      <c r="D3" s="49" t="str">
        <f>Codice1</f>
        <v>I</v>
      </c>
      <c r="E3" s="65" t="str">
        <f>TestoCodice1</f>
        <v>In ritardo</v>
      </c>
      <c r="F3" s="57"/>
      <c r="H3" s="50" t="str">
        <f>Codice2</f>
        <v>G</v>
      </c>
      <c r="I3" s="54" t="str">
        <f>TestoCodice2</f>
        <v>Giustificato</v>
      </c>
      <c r="L3" s="51" t="str">
        <f>Codice3</f>
        <v>N</v>
      </c>
      <c r="M3" s="54" t="str">
        <f>TestoCodice3</f>
        <v>Non giustificato</v>
      </c>
      <c r="P3" s="52" t="str">
        <f>Codice4</f>
        <v>P</v>
      </c>
      <c r="Q3" s="54" t="str">
        <f>TestoCodice4</f>
        <v>Presente</v>
      </c>
      <c r="T3" s="53" t="str">
        <f>Codice5</f>
        <v>S</v>
      </c>
      <c r="U3" s="54" t="str">
        <f>TestoCodice5</f>
        <v>Scuola chiusa</v>
      </c>
      <c r="W3"/>
      <c r="X3"/>
      <c r="Y3"/>
      <c r="AD3" s="29"/>
      <c r="AE3" s="29"/>
      <c r="AH3" s="31"/>
      <c r="AI3" s="32"/>
      <c r="AK3" s="33"/>
    </row>
    <row r="4" spans="1:39" customFormat="1" ht="16.5" customHeight="1"/>
    <row r="5" spans="1:39" s="2" customFormat="1" ht="18" customHeight="1">
      <c r="B5" s="118">
        <f>DATE(AnnoCalendario+1,2,1)</f>
        <v>41306</v>
      </c>
      <c r="C5" s="58"/>
      <c r="D5" s="40" t="str">
        <f>TEXT(WEEKDAY(DATE(AnnoCalendario+1,2,1),1),"[$-410]aaa")</f>
        <v>1900</v>
      </c>
      <c r="E5" s="40" t="str">
        <f>TEXT(WEEKDAY(DATE(AnnoCalendario+1,2,2),1),"[$-410]aaa")</f>
        <v>1900</v>
      </c>
      <c r="F5" s="40" t="str">
        <f>TEXT(WEEKDAY(DATE(AnnoCalendario+1,2,3),1),"[$-410]aaa")</f>
        <v>1900</v>
      </c>
      <c r="G5" s="40" t="str">
        <f>TEXT(WEEKDAY(DATE(AnnoCalendario+1,2,4),1),"[$-410]aaa")</f>
        <v>1900</v>
      </c>
      <c r="H5" s="40" t="str">
        <f>TEXT(WEEKDAY(DATE(AnnoCalendario+1,2,5),1),"[$-410]aaa")</f>
        <v>1900</v>
      </c>
      <c r="I5" s="40" t="str">
        <f>TEXT(WEEKDAY(DATE(AnnoCalendario+1,2,6),1),"[$-410]aaa")</f>
        <v>1900</v>
      </c>
      <c r="J5" s="40" t="str">
        <f>TEXT(WEEKDAY(DATE(AnnoCalendario+1,2,7),1),"[$-410]aaa")</f>
        <v>1900</v>
      </c>
      <c r="K5" s="40" t="str">
        <f>TEXT(WEEKDAY(DATE(AnnoCalendario+1,2,8),1),"[$-410]aaa")</f>
        <v>1900</v>
      </c>
      <c r="L5" s="40" t="str">
        <f>TEXT(WEEKDAY(DATE(AnnoCalendario+1,2,9),1),"[$-410]aaa")</f>
        <v>1900</v>
      </c>
      <c r="M5" s="40" t="str">
        <f>TEXT(WEEKDAY(DATE(AnnoCalendario+1,2,10),1),"[$-410]aaa")</f>
        <v>1900</v>
      </c>
      <c r="N5" s="40" t="str">
        <f>TEXT(WEEKDAY(DATE(AnnoCalendario+1,2,11),1),"[$-410]aaa")</f>
        <v>1900</v>
      </c>
      <c r="O5" s="40" t="str">
        <f>TEXT(WEEKDAY(DATE(AnnoCalendario+1,2,12),1),"[$-410]aaa")</f>
        <v>1900</v>
      </c>
      <c r="P5" s="40" t="str">
        <f>TEXT(WEEKDAY(DATE(AnnoCalendario+1,2,13),1),"[$-410]aaa")</f>
        <v>1900</v>
      </c>
      <c r="Q5" s="40" t="str">
        <f>TEXT(WEEKDAY(DATE(AnnoCalendario+1,2,14),1),"[$-410]aaa")</f>
        <v>1900</v>
      </c>
      <c r="R5" s="40" t="str">
        <f>TEXT(WEEKDAY(DATE(AnnoCalendario+1,2,15),1),"[$-410]aaa")</f>
        <v>1900</v>
      </c>
      <c r="S5" s="40" t="str">
        <f>TEXT(WEEKDAY(DATE(AnnoCalendario+1,2,16),1),"[$-410]aaa")</f>
        <v>1900</v>
      </c>
      <c r="T5" s="40" t="str">
        <f>TEXT(WEEKDAY(DATE(AnnoCalendario+1,2,17),1),"[$-410]aaa")</f>
        <v>1900</v>
      </c>
      <c r="U5" s="40" t="str">
        <f>TEXT(WEEKDAY(DATE(AnnoCalendario+1,2,18),1),"[$-410]aaa")</f>
        <v>1900</v>
      </c>
      <c r="V5" s="40" t="str">
        <f>TEXT(WEEKDAY(DATE(AnnoCalendario+1,2,19),1),"[$-410]aaa")</f>
        <v>1900</v>
      </c>
      <c r="W5" s="40" t="str">
        <f>TEXT(WEEKDAY(DATE(AnnoCalendario+1,2,20),1),"[$-410]aaa")</f>
        <v>1900</v>
      </c>
      <c r="X5" s="40" t="str">
        <f>TEXT(WEEKDAY(DATE(AnnoCalendario+1,2,21),1),"[$-410]aaa")</f>
        <v>1900</v>
      </c>
      <c r="Y5" s="40" t="str">
        <f>TEXT(WEEKDAY(DATE(AnnoCalendario+1,2,22),1),"[$-410]aaa")</f>
        <v>1900</v>
      </c>
      <c r="Z5" s="40" t="str">
        <f>TEXT(WEEKDAY(DATE(AnnoCalendario+1,2,23),1),"[$-410]aaa")</f>
        <v>1900</v>
      </c>
      <c r="AA5" s="40" t="str">
        <f>TEXT(WEEKDAY(DATE(AnnoCalendario+1,2,24),1),"[$-410]aaa")</f>
        <v>1900</v>
      </c>
      <c r="AB5" s="40" t="str">
        <f>TEXT(WEEKDAY(DATE(AnnoCalendario+1,2,25),1),"[$-410]aaa")</f>
        <v>1900</v>
      </c>
      <c r="AC5" s="40" t="str">
        <f>TEXT(WEEKDAY(DATE(AnnoCalendario+1,2,26),1),"[$-410]aaa")</f>
        <v>1900</v>
      </c>
      <c r="AD5" s="40" t="str">
        <f>TEXT(WEEKDAY(DATE(AnnoCalendario+1,2,27),1),"[$-410]aaa")</f>
        <v>1900</v>
      </c>
      <c r="AE5" s="40" t="str">
        <f>TEXT(WEEKDAY(DATE(AnnoCalendario+1,2,28),1),"[$-410]aaa")</f>
        <v>1900</v>
      </c>
      <c r="AF5" s="40" t="str">
        <f>TEXT(WEEKDAY(DATE(AnnoCalendario+1,2,29),1),"aaa")</f>
        <v>1900</v>
      </c>
      <c r="AG5" s="40"/>
      <c r="AH5" s="40"/>
      <c r="AI5" s="132" t="s">
        <v>38</v>
      </c>
      <c r="AJ5" s="132"/>
      <c r="AK5" s="132"/>
      <c r="AL5" s="132"/>
      <c r="AM5" s="132"/>
    </row>
    <row r="6" spans="1:39" ht="14.25" customHeight="1">
      <c r="B6" s="26" t="s">
        <v>34</v>
      </c>
      <c r="C6" s="27" t="s">
        <v>36</v>
      </c>
      <c r="D6" s="28" t="s">
        <v>0</v>
      </c>
      <c r="E6" s="28" t="s">
        <v>1</v>
      </c>
      <c r="F6" s="28" t="s">
        <v>2</v>
      </c>
      <c r="G6" s="28" t="s">
        <v>3</v>
      </c>
      <c r="H6" s="28" t="s">
        <v>4</v>
      </c>
      <c r="I6" s="28" t="s">
        <v>5</v>
      </c>
      <c r="J6" s="28" t="s">
        <v>6</v>
      </c>
      <c r="K6" s="28" t="s">
        <v>7</v>
      </c>
      <c r="L6" s="28" t="s">
        <v>8</v>
      </c>
      <c r="M6" s="28" t="s">
        <v>9</v>
      </c>
      <c r="N6" s="28" t="s">
        <v>10</v>
      </c>
      <c r="O6" s="28" t="s">
        <v>11</v>
      </c>
      <c r="P6" s="28" t="s">
        <v>12</v>
      </c>
      <c r="Q6" s="28" t="s">
        <v>13</v>
      </c>
      <c r="R6" s="28" t="s">
        <v>14</v>
      </c>
      <c r="S6" s="28" t="s">
        <v>15</v>
      </c>
      <c r="T6" s="28" t="s">
        <v>16</v>
      </c>
      <c r="U6" s="28" t="s">
        <v>17</v>
      </c>
      <c r="V6" s="28" t="s">
        <v>18</v>
      </c>
      <c r="W6" s="28" t="s">
        <v>19</v>
      </c>
      <c r="X6" s="28" t="s">
        <v>20</v>
      </c>
      <c r="Y6" s="28" t="s">
        <v>21</v>
      </c>
      <c r="Z6" s="28" t="s">
        <v>22</v>
      </c>
      <c r="AA6" s="28" t="s">
        <v>23</v>
      </c>
      <c r="AB6" s="28" t="s">
        <v>24</v>
      </c>
      <c r="AC6" s="28" t="s">
        <v>25</v>
      </c>
      <c r="AD6" s="28" t="s">
        <v>26</v>
      </c>
      <c r="AE6" s="28" t="s">
        <v>27</v>
      </c>
      <c r="AF6" s="28" t="s">
        <v>28</v>
      </c>
      <c r="AG6" s="28" t="s">
        <v>29</v>
      </c>
      <c r="AH6" s="28" t="s">
        <v>30</v>
      </c>
      <c r="AI6" s="90" t="s">
        <v>132</v>
      </c>
      <c r="AJ6" s="66" t="s">
        <v>139</v>
      </c>
      <c r="AK6" s="67" t="s">
        <v>138</v>
      </c>
      <c r="AL6" s="68" t="s">
        <v>31</v>
      </c>
      <c r="AM6" t="s">
        <v>37</v>
      </c>
    </row>
    <row r="7" spans="1:39" ht="16.5" customHeight="1">
      <c r="B7" s="25"/>
      <c r="C7" s="21" t="str">
        <f>IFERROR(VLOOKUP(FrequenzaFebbraio[[#This Row],[ID studente]],ElencoStudenti[],18,FALSE),"")</f>
        <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4"/>
      <c r="AG7" s="3"/>
      <c r="AH7" s="3"/>
      <c r="AI7" s="34">
        <f>COUNTIF(FrequenzaFebbraio[[#This Row],[1]:[31]],Codice1)</f>
        <v>0</v>
      </c>
      <c r="AJ7" s="34">
        <f>COUNTIF(FrequenzaFebbraio[[#This Row],[1]:[31]],Codice2)</f>
        <v>0</v>
      </c>
      <c r="AK7" s="34">
        <f>COUNTIF(FrequenzaFebbraio[[#This Row],[1]:[31]],Codice3)</f>
        <v>0</v>
      </c>
      <c r="AL7" s="34">
        <f>COUNTIF(FrequenzaFebbraio[[#This Row],[1]:[31]],Codice4)</f>
        <v>0</v>
      </c>
      <c r="AM7" s="7">
        <f>SUM(FrequenzaFebbraio[[#This Row],[N]:[G]])</f>
        <v>0</v>
      </c>
    </row>
    <row r="8" spans="1:39" ht="16.5" customHeight="1">
      <c r="B8" s="25"/>
      <c r="C8" s="21" t="str">
        <f>IFERROR(VLOOKUP(FrequenzaFebbraio[[#This Row],[ID studente]],ElencoStudenti[],18,FALSE),"")</f>
        <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3"/>
      <c r="AH8" s="3"/>
      <c r="AI8" s="34">
        <f>COUNTIF(FrequenzaFebbraio[[#This Row],[1]:[31]],Codice1)</f>
        <v>0</v>
      </c>
      <c r="AJ8" s="34">
        <f>COUNTIF(FrequenzaFebbraio[[#This Row],[1]:[31]],Codice2)</f>
        <v>0</v>
      </c>
      <c r="AK8" s="34">
        <f>COUNTIF(FrequenzaFebbraio[[#This Row],[1]:[31]],Codice3)</f>
        <v>0</v>
      </c>
      <c r="AL8" s="34">
        <f>COUNTIF(FrequenzaFebbraio[[#This Row],[1]:[31]],Codice4)</f>
        <v>0</v>
      </c>
      <c r="AM8" s="7">
        <f>SUM(FrequenzaFebbraio[[#This Row],[N]:[G]])</f>
        <v>0</v>
      </c>
    </row>
    <row r="9" spans="1:39" ht="16.5" customHeight="1">
      <c r="B9" s="25"/>
      <c r="C9" s="21" t="str">
        <f>IFERROR(VLOOKUP(FrequenzaFebbraio[[#This Row],[ID studente]],ElencoStudenti[],18,FALSE),"")</f>
        <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c r="AG9" s="3"/>
      <c r="AH9" s="3"/>
      <c r="AI9" s="34">
        <f>COUNTIF(FrequenzaFebbraio[[#This Row],[1]:[31]],Codice1)</f>
        <v>0</v>
      </c>
      <c r="AJ9" s="34">
        <f>COUNTIF(FrequenzaFebbraio[[#This Row],[1]:[31]],Codice2)</f>
        <v>0</v>
      </c>
      <c r="AK9" s="34">
        <f>COUNTIF(FrequenzaFebbraio[[#This Row],[1]:[31]],Codice3)</f>
        <v>0</v>
      </c>
      <c r="AL9" s="34">
        <f>COUNTIF(FrequenzaFebbraio[[#This Row],[1]:[31]],Codice4)</f>
        <v>0</v>
      </c>
      <c r="AM9" s="7">
        <f>SUM(FrequenzaFebbraio[[#This Row],[N]:[G]])</f>
        <v>0</v>
      </c>
    </row>
    <row r="10" spans="1:39" ht="16.5" customHeight="1">
      <c r="B10" s="25"/>
      <c r="C10" s="21" t="str">
        <f>IFERROR(VLOOKUP(FrequenzaFebbraio[[#This Row],[ID studente]],ElencoStudenti[],18,FALSE),"")</f>
        <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4"/>
      <c r="AG10" s="3"/>
      <c r="AH10" s="3"/>
      <c r="AI10" s="34">
        <f>COUNTIF(FrequenzaFebbraio[[#This Row],[1]:[31]],Codice1)</f>
        <v>0</v>
      </c>
      <c r="AJ10" s="34">
        <f>COUNTIF(FrequenzaFebbraio[[#This Row],[1]:[31]],Codice2)</f>
        <v>0</v>
      </c>
      <c r="AK10" s="34">
        <f>COUNTIF(FrequenzaFebbraio[[#This Row],[1]:[31]],Codice3)</f>
        <v>0</v>
      </c>
      <c r="AL10" s="34">
        <f>COUNTIF(FrequenzaFebbraio[[#This Row],[1]:[31]],Codice4)</f>
        <v>0</v>
      </c>
      <c r="AM10" s="7">
        <f>SUM(FrequenzaFebbraio[[#This Row],[N]:[G]])</f>
        <v>0</v>
      </c>
    </row>
    <row r="11" spans="1:39" ht="16.5" customHeight="1">
      <c r="B11" s="25"/>
      <c r="C11" s="21" t="str">
        <f>IFERROR(VLOOKUP(FrequenzaFebbraio[[#This Row],[ID studente]],ElencoStudenti[],18,FALSE),"")</f>
        <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4"/>
      <c r="AG11" s="3"/>
      <c r="AH11" s="3"/>
      <c r="AI11" s="34">
        <f>COUNTIF(FrequenzaFebbraio[[#This Row],[1]:[31]],Codice1)</f>
        <v>0</v>
      </c>
      <c r="AJ11" s="34">
        <f>COUNTIF(FrequenzaFebbraio[[#This Row],[1]:[31]],Codice2)</f>
        <v>0</v>
      </c>
      <c r="AK11" s="34">
        <f>COUNTIF(FrequenzaFebbraio[[#This Row],[1]:[31]],Codice3)</f>
        <v>0</v>
      </c>
      <c r="AL11" s="34">
        <f>COUNTIF(FrequenzaFebbraio[[#This Row],[1]:[31]],Codice4)</f>
        <v>0</v>
      </c>
      <c r="AM11" s="7">
        <f>SUM(FrequenzaFebbraio[[#This Row],[N]:[G]])</f>
        <v>0</v>
      </c>
    </row>
    <row r="12" spans="1:39" ht="16.5" customHeight="1">
      <c r="B12" s="115"/>
      <c r="C12" s="117" t="s">
        <v>114</v>
      </c>
      <c r="D12" s="115">
        <f>COUNTIF(FrequenzaFebbraio[1],"N")+COUNTIF(FrequenzaFebbraio[1],"G")</f>
        <v>0</v>
      </c>
      <c r="E12" s="115">
        <f>COUNTIF(FrequenzaFebbraio[2],"N")+COUNTIF(FrequenzaFebbraio[2],"G")</f>
        <v>0</v>
      </c>
      <c r="F12" s="115">
        <f>COUNTIF(FrequenzaFebbraio[3],"N")+COUNTIF(FrequenzaFebbraio[3],"G")</f>
        <v>0</v>
      </c>
      <c r="G12" s="115">
        <f>COUNTIF(FrequenzaFebbraio[4],"N")+COUNTIF(FrequenzaFebbraio[4],"G")</f>
        <v>0</v>
      </c>
      <c r="H12" s="115">
        <f>COUNTIF(FrequenzaFebbraio[5],"N")+COUNTIF(FrequenzaFebbraio[5],"G")</f>
        <v>0</v>
      </c>
      <c r="I12" s="115">
        <f>COUNTIF(FrequenzaFebbraio[6],"N")+COUNTIF(FrequenzaFebbraio[6],"G")</f>
        <v>0</v>
      </c>
      <c r="J12" s="115">
        <f>COUNTIF(FrequenzaFebbraio[7],"N")+COUNTIF(FrequenzaFebbraio[7],"G")</f>
        <v>0</v>
      </c>
      <c r="K12" s="115">
        <f>COUNTIF(FrequenzaFebbraio[8],"N")+COUNTIF(FrequenzaFebbraio[8],"G")</f>
        <v>0</v>
      </c>
      <c r="L12" s="115">
        <f>COUNTIF(FrequenzaFebbraio[9],"N")+COUNTIF(FrequenzaFebbraio[9],"G")</f>
        <v>0</v>
      </c>
      <c r="M12" s="115">
        <f>COUNTIF(FrequenzaFebbraio[10],"N")+COUNTIF(FrequenzaFebbraio[10],"G")</f>
        <v>0</v>
      </c>
      <c r="N12" s="115">
        <f>COUNTIF(FrequenzaFebbraio[11],"N")+COUNTIF(FrequenzaFebbraio[11],"G")</f>
        <v>0</v>
      </c>
      <c r="O12" s="115">
        <f>COUNTIF(FrequenzaFebbraio[12],"N")+COUNTIF(FrequenzaFebbraio[12],"G")</f>
        <v>0</v>
      </c>
      <c r="P12" s="115">
        <f>COUNTIF(FrequenzaFebbraio[13],"N")+COUNTIF(FrequenzaFebbraio[13],"G")</f>
        <v>0</v>
      </c>
      <c r="Q12" s="115">
        <f>COUNTIF(FrequenzaFebbraio[14],"N")+COUNTIF(FrequenzaFebbraio[14],"G")</f>
        <v>0</v>
      </c>
      <c r="R12" s="115">
        <f>COUNTIF(FrequenzaFebbraio[15],"N")+COUNTIF(FrequenzaFebbraio[15],"G")</f>
        <v>0</v>
      </c>
      <c r="S12" s="115">
        <f>COUNTIF(FrequenzaFebbraio[16],"N")+COUNTIF(FrequenzaFebbraio[16],"G")</f>
        <v>0</v>
      </c>
      <c r="T12" s="115">
        <f>COUNTIF(FrequenzaFebbraio[17],"N")+COUNTIF(FrequenzaFebbraio[17],"G")</f>
        <v>0</v>
      </c>
      <c r="U12" s="115">
        <f>COUNTIF(FrequenzaFebbraio[18],"N")+COUNTIF(FrequenzaFebbraio[18],"G")</f>
        <v>0</v>
      </c>
      <c r="V12" s="115">
        <f>COUNTIF(FrequenzaFebbraio[19],"N")+COUNTIF(FrequenzaFebbraio[19],"G")</f>
        <v>0</v>
      </c>
      <c r="W12" s="115">
        <f>COUNTIF(FrequenzaFebbraio[20],"N")+COUNTIF(FrequenzaFebbraio[20],"G")</f>
        <v>0</v>
      </c>
      <c r="X12" s="115">
        <f>COUNTIF(FrequenzaFebbraio[21],"N")+COUNTIF(FrequenzaFebbraio[21],"G")</f>
        <v>0</v>
      </c>
      <c r="Y12" s="115">
        <f>COUNTIF(FrequenzaFebbraio[22],"N")+COUNTIF(FrequenzaFebbraio[22],"G")</f>
        <v>0</v>
      </c>
      <c r="Z12" s="115">
        <f>COUNTIF(FrequenzaFebbraio[23],"N")+COUNTIF(FrequenzaFebbraio[23],"G")</f>
        <v>0</v>
      </c>
      <c r="AA12" s="115">
        <f>COUNTIF(FrequenzaFebbraio[24],"N")+COUNTIF(FrequenzaFebbraio[24],"G")</f>
        <v>0</v>
      </c>
      <c r="AB12" s="115">
        <f>COUNTIF(FrequenzaFebbraio[25],"N")+COUNTIF(FrequenzaFebbraio[25],"G")</f>
        <v>0</v>
      </c>
      <c r="AC12" s="115">
        <f>COUNTIF(FrequenzaFebbraio[26],"N")+COUNTIF(FrequenzaFebbraio[26],"G")</f>
        <v>0</v>
      </c>
      <c r="AD12" s="115">
        <f>COUNTIF(FrequenzaFebbraio[27],"N")+COUNTIF(FrequenzaFebbraio[27],"G")</f>
        <v>0</v>
      </c>
      <c r="AE12" s="115">
        <f>COUNTIF(FrequenzaFebbraio[28],"N")+COUNTIF(FrequenzaFebbraio[28],"G")</f>
        <v>0</v>
      </c>
      <c r="AF12" s="115"/>
      <c r="AG12" s="115"/>
      <c r="AH12" s="115"/>
      <c r="AI12" s="115">
        <f>SUBTOTAL(109,FrequenzaFebbraio[I])</f>
        <v>0</v>
      </c>
      <c r="AJ12" s="115">
        <f>SUBTOTAL(109,FrequenzaFebbraio[N])</f>
        <v>0</v>
      </c>
      <c r="AK12" s="115">
        <f>SUBTOTAL(109,FrequenzaFebbraio[G])</f>
        <v>0</v>
      </c>
      <c r="AL12" s="115">
        <f>SUBTOTAL(109,FrequenzaFebbraio[P])</f>
        <v>0</v>
      </c>
      <c r="AM12" s="115">
        <f>SUBTOTAL(109,FrequenzaFebbraio[Giorni di assenza])</f>
        <v>0</v>
      </c>
    </row>
    <row r="13" spans="1:39" ht="16.5" customHeight="1">
      <c r="B13" s="3"/>
      <c r="C13" s="4"/>
      <c r="D13" s="7">
        <f>COUNTIF(FrequenzaFebbraio[1],"U")+COUNTIF(FrequenzaFebbraio[1],"E")</f>
        <v>0</v>
      </c>
      <c r="E13" s="7">
        <f>COUNTIF(FrequenzaFebbraio[2],"U")+COUNTIF(FrequenzaFebbraio[2],"E")</f>
        <v>0</v>
      </c>
      <c r="F13" s="7">
        <f>COUNTIF(FrequenzaFebbraio[3],"U")+COUNTIF(FrequenzaFebbraio[3],"E")</f>
        <v>0</v>
      </c>
      <c r="G13" s="7">
        <f>COUNTIF(FrequenzaFebbraio[4],"U")+COUNTIF(FrequenzaFebbraio[4],"E")</f>
        <v>0</v>
      </c>
      <c r="H13" s="7">
        <f>COUNTIF(FrequenzaFebbraio[5],"U")+COUNTIF(FrequenzaFebbraio[5],"E")</f>
        <v>0</v>
      </c>
      <c r="I13" s="7">
        <f>COUNTIF(FrequenzaFebbraio[6],"U")+COUNTIF(FrequenzaFebbraio[6],"E")</f>
        <v>0</v>
      </c>
      <c r="J13" s="7">
        <f>COUNTIF(FrequenzaFebbraio[7],"U")+COUNTIF(FrequenzaFebbraio[7],"E")</f>
        <v>0</v>
      </c>
      <c r="K13" s="7">
        <f>COUNTIF(FrequenzaFebbraio[8],"U")+COUNTIF(FrequenzaFebbraio[8],"E")</f>
        <v>0</v>
      </c>
      <c r="L13" s="7">
        <f>COUNTIF(FrequenzaFebbraio[9],"U")+COUNTIF(FrequenzaFebbraio[9],"E")</f>
        <v>0</v>
      </c>
      <c r="M13" s="7">
        <f>COUNTIF(FrequenzaFebbraio[10],"U")+COUNTIF(FrequenzaFebbraio[10],"E")</f>
        <v>0</v>
      </c>
      <c r="N13" s="7">
        <f>COUNTIF(FrequenzaFebbraio[11],"U")+COUNTIF(FrequenzaFebbraio[11],"E")</f>
        <v>0</v>
      </c>
      <c r="O13" s="7">
        <f>COUNTIF(FrequenzaFebbraio[12],"U")+COUNTIF(FrequenzaFebbraio[12],"E")</f>
        <v>0</v>
      </c>
      <c r="P13" s="7">
        <f>COUNTIF(FrequenzaFebbraio[13],"U")+COUNTIF(FrequenzaFebbraio[13],"E")</f>
        <v>0</v>
      </c>
      <c r="Q13" s="7">
        <f>COUNTIF(FrequenzaFebbraio[14],"U")+COUNTIF(FrequenzaFebbraio[14],"E")</f>
        <v>0</v>
      </c>
      <c r="R13" s="7">
        <f>COUNTIF(FrequenzaFebbraio[15],"U")+COUNTIF(FrequenzaFebbraio[15],"E")</f>
        <v>0</v>
      </c>
      <c r="S13" s="7">
        <f>COUNTIF(FrequenzaFebbraio[16],"U")+COUNTIF(FrequenzaFebbraio[16],"E")</f>
        <v>0</v>
      </c>
      <c r="T13" s="7">
        <f>COUNTIF(FrequenzaFebbraio[17],"U")+COUNTIF(FrequenzaFebbraio[17],"E")</f>
        <v>0</v>
      </c>
      <c r="U13" s="7">
        <f>COUNTIF(FrequenzaFebbraio[18],"U")+COUNTIF(FrequenzaFebbraio[18],"E")</f>
        <v>0</v>
      </c>
      <c r="V13" s="7">
        <f>COUNTIF(FrequenzaFebbraio[19],"U")+COUNTIF(FrequenzaFebbraio[19],"E")</f>
        <v>0</v>
      </c>
      <c r="W13" s="7">
        <f>COUNTIF(FrequenzaFebbraio[20],"U")+COUNTIF(FrequenzaFebbraio[20],"E")</f>
        <v>0</v>
      </c>
      <c r="X13" s="7">
        <f>COUNTIF(FrequenzaFebbraio[21],"U")+COUNTIF(FrequenzaFebbraio[21],"E")</f>
        <v>0</v>
      </c>
      <c r="Y13" s="7">
        <f>COUNTIF(FrequenzaFebbraio[22],"U")+COUNTIF(FrequenzaFebbraio[22],"E")</f>
        <v>0</v>
      </c>
      <c r="Z13" s="7">
        <f>COUNTIF(FrequenzaFebbraio[23],"U")+COUNTIF(FrequenzaFebbraio[23],"E")</f>
        <v>0</v>
      </c>
      <c r="AA13" s="7">
        <f>COUNTIF(FrequenzaFebbraio[24],"U")+COUNTIF(FrequenzaFebbraio[24],"E")</f>
        <v>0</v>
      </c>
      <c r="AB13" s="7">
        <f>COUNTIF(FrequenzaFebbraio[25],"U")+COUNTIF(FrequenzaFebbraio[25],"E")</f>
        <v>0</v>
      </c>
      <c r="AC13" s="7">
        <f>COUNTIF(FrequenzaFebbraio[26],"U")+COUNTIF(FrequenzaFebbraio[26],"E")</f>
        <v>0</v>
      </c>
      <c r="AD13" s="7">
        <f>COUNTIF(FrequenzaFebbraio[27],"U")+COUNTIF(FrequenzaFebbraio[27],"E")</f>
        <v>0</v>
      </c>
      <c r="AE13" s="7">
        <f>COUNTIF(FrequenzaFebbraio[28],"U")+COUNTIF(FrequenzaFebbraio[28],"E")</f>
        <v>0</v>
      </c>
      <c r="AF13" s="7">
        <f>COUNTIF(FrequenzaFebbraio[29],"U")+COUNTIF(FrequenzaFebbraio[29],"E")</f>
        <v>0</v>
      </c>
      <c r="AG13" s="7"/>
      <c r="AH13" s="7"/>
      <c r="AI13" s="7">
        <f>SUBTOTAL(109,FrequenzaFebbraio[I])</f>
        <v>0</v>
      </c>
      <c r="AJ13" s="7">
        <f>SUBTOTAL(109,FrequenzaFebbraio[N])</f>
        <v>0</v>
      </c>
      <c r="AK13" s="7">
        <f>SUBTOTAL(109,FrequenzaFebbraio[G])</f>
        <v>0</v>
      </c>
      <c r="AL13" s="7">
        <f>SUBTOTAL(109,FrequenzaFebbraio[P])</f>
        <v>0</v>
      </c>
      <c r="AM13" s="7"/>
    </row>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sheetData>
  <sheetProtection formatCells="0" formatColumns="0" formatRows="0" insertColumns="0" insertRows="0" insertHyperlinks="0" deleteColumns="0" deleteRows="0" sort="0" autoFilter="0" pivotTables="0"/>
  <mergeCells count="1">
    <mergeCell ref="AI5:AM5"/>
  </mergeCells>
  <phoneticPr fontId="44" type="noConversion"/>
  <conditionalFormatting sqref="AM7:AM11">
    <cfRule type="dataBar" priority="3">
      <dataBar>
        <cfvo type="min"/>
        <cfvo type="num" val="DATEDIF(DATE(AnnoCalendario,2,1),DATE(AnnoCalendario,3,1),&quot;d&quot;)"/>
        <color theme="4"/>
      </dataBar>
      <extLst>
        <ext xmlns:x14="http://schemas.microsoft.com/office/spreadsheetml/2009/9/main" uri="{B025F937-C7B1-47D3-B67F-A62EFF666E3E}">
          <x14:id>{AB18F5F5-27F6-438D-8C1C-359FFE3EF7E4}</x14:id>
        </ext>
      </extLst>
    </cfRule>
  </conditionalFormatting>
  <conditionalFormatting sqref="AF5:AH5">
    <cfRule type="expression" dxfId="505" priority="2">
      <formula>DATE(AnnoCalendario+1,2,AF6)&gt;EOMONTH(DATE(AnnoCalendario+1,1,1),1)</formula>
    </cfRule>
  </conditionalFormatting>
  <conditionalFormatting sqref="D7:AF11">
    <cfRule type="expression" dxfId="504" priority="5" stopIfTrue="1">
      <formula>D7=Codice2</formula>
    </cfRule>
  </conditionalFormatting>
  <conditionalFormatting sqref="D7:AF11">
    <cfRule type="expression" dxfId="503" priority="6" stopIfTrue="1">
      <formula>D7=Codice5</formula>
    </cfRule>
    <cfRule type="expression" dxfId="502" priority="7" stopIfTrue="1">
      <formula>D7=Codice4</formula>
    </cfRule>
    <cfRule type="expression" dxfId="501" priority="8" stopIfTrue="1">
      <formula>D7=Codice3</formula>
    </cfRule>
    <cfRule type="expression" dxfId="500" priority="9" stopIfTrue="1">
      <formula>D7=Codice1</formula>
    </cfRule>
  </conditionalFormatting>
  <conditionalFormatting sqref="AF6:AH6">
    <cfRule type="expression" dxfId="499" priority="1">
      <formula>DATE(AnnoCalendario+1,2,AF6)&gt;EOMONTH(DATE(AnnoCalendario+1,1,1),1)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IDStudente</formula1>
    </dataValidation>
  </dataValidations>
  <printOptions horizontalCentered="1"/>
  <pageMargins left="0.5" right="0.5" top="0.75" bottom="0.75" header="0.3" footer="0.3"/>
  <pageSetup fitToHeight="0" orientation="landscape"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B18F5F5-27F6-438D-8C1C-359FFE3EF7E4}">
            <x14:dataBar minLength="0" maxLength="100" border="1" negativeBarBorderColorSameAsPositive="0">
              <x14:cfvo type="autoMin"/>
              <x14:cfvo type="num">
                <xm:f>DATEDIF(DATE(AnnoCalendario,2,1),DATE(AnnoCalendario,3,1),"d")</xm:f>
              </x14:cfvo>
              <x14:borderColor theme="4"/>
              <x14:negativeFillColor rgb="FFFF0000"/>
              <x14:negativeBorderColor rgb="FFFF0000"/>
              <x14:axisColor rgb="FF000000"/>
            </x14:dataBar>
          </x14:cfRule>
          <xm:sqref>AM7:AM11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30</vt:i4>
      </vt:variant>
    </vt:vector>
  </HeadingPairs>
  <TitlesOfParts>
    <vt:vector size="45" baseType="lpstr">
      <vt:lpstr>Come utilizzare questo modello</vt:lpstr>
      <vt:lpstr>Elenco studenti</vt:lpstr>
      <vt:lpstr>Agosto</vt:lpstr>
      <vt:lpstr>Settembre</vt:lpstr>
      <vt:lpstr>Ottobre</vt:lpstr>
      <vt:lpstr>Novembre</vt:lpstr>
      <vt:lpstr>Dicembre</vt:lpstr>
      <vt:lpstr>Gennaio</vt:lpstr>
      <vt:lpstr>Febbraio</vt:lpstr>
      <vt:lpstr>Marzo</vt:lpstr>
      <vt:lpstr>Aprile</vt:lpstr>
      <vt:lpstr>Maggio</vt:lpstr>
      <vt:lpstr>Giugno</vt:lpstr>
      <vt:lpstr>Luglio</vt:lpstr>
      <vt:lpstr>Report di frequenza studenti</vt:lpstr>
      <vt:lpstr>AnnoCalendario</vt:lpstr>
      <vt:lpstr>Agosto!Area_stampa</vt:lpstr>
      <vt:lpstr>Aprile!Area_stampa</vt:lpstr>
      <vt:lpstr>'Come utilizzare questo modello'!Area_stampa</vt:lpstr>
      <vt:lpstr>Dicembre!Area_stampa</vt:lpstr>
      <vt:lpstr>'Elenco studenti'!Area_stampa</vt:lpstr>
      <vt:lpstr>Febbraio!Area_stampa</vt:lpstr>
      <vt:lpstr>Gennaio!Area_stampa</vt:lpstr>
      <vt:lpstr>Giugno!Area_stampa</vt:lpstr>
      <vt:lpstr>Luglio!Area_stampa</vt:lpstr>
      <vt:lpstr>Maggio!Area_stampa</vt:lpstr>
      <vt:lpstr>Marzo!Area_stampa</vt:lpstr>
      <vt:lpstr>Novembre!Area_stampa</vt:lpstr>
      <vt:lpstr>Ottobre!Area_stampa</vt:lpstr>
      <vt:lpstr>'Report di frequenza studenti'!Area_stampa</vt:lpstr>
      <vt:lpstr>Settembre!Area_stampa</vt:lpstr>
      <vt:lpstr>Codice1</vt:lpstr>
      <vt:lpstr>Codice2</vt:lpstr>
      <vt:lpstr>Codice3</vt:lpstr>
      <vt:lpstr>Codice4</vt:lpstr>
      <vt:lpstr>Codice5</vt:lpstr>
      <vt:lpstr>IDStudente</vt:lpstr>
      <vt:lpstr>NomeStudente</vt:lpstr>
      <vt:lpstr>RicercaStudente</vt:lpstr>
      <vt:lpstr>TestoCodice1</vt:lpstr>
      <vt:lpstr>TestoCodice2</vt:lpstr>
      <vt:lpstr>TestoCodice3</vt:lpstr>
      <vt:lpstr>TestoCodice4</vt:lpstr>
      <vt:lpstr>TestoCodice5</vt:lpstr>
      <vt:lpstr>TestoLeggendaColori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Dianni Cocuzzone Alessandro</dc:creator>
  <cp:keywords/>
  <cp:lastModifiedBy>Dianni Cocuzzone Alessandro</cp:lastModifiedBy>
  <dcterms:created xsi:type="dcterms:W3CDTF">2015-03-25T13:32:13Z</dcterms:created>
  <dcterms:modified xsi:type="dcterms:W3CDTF">2015-03-25T13:32:13Z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